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Comunicaciones5\Documents\Transparencia Venezuela\Carlos\Créditos Adicionales\"/>
    </mc:Choice>
  </mc:AlternateContent>
  <xr:revisionPtr revIDLastSave="0" documentId="8_{16146B02-2FA3-4B25-BF17-FADEEEA042CF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Créditos adicionales" sheetId="2" r:id="rId1"/>
    <sheet name="Desagregado" sheetId="4" r:id="rId2"/>
    <sheet name="Situado Constitucional" sheetId="6" r:id="rId3"/>
    <sheet name="Montos totales por Ministerios" sheetId="9" r:id="rId4"/>
  </sheets>
  <externalReferences>
    <externalReference r:id="rId5"/>
    <externalReference r:id="rId6"/>
  </externalReferences>
  <definedNames>
    <definedName name="Descentralizados">[1]Listas!$D$2:$D$439</definedName>
    <definedName name="Partidas">[1]Listas!$J$2:$J$1198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9" l="1"/>
  <c r="BB61" i="9"/>
  <c r="AW61" i="9"/>
  <c r="AP61" i="9"/>
  <c r="AH61" i="9"/>
  <c r="AA61" i="9"/>
  <c r="T61" i="9"/>
  <c r="E61" i="9" s="1"/>
  <c r="C61" i="9" s="1"/>
  <c r="BC60" i="9"/>
  <c r="AP60" i="9"/>
  <c r="AE60" i="9"/>
  <c r="W60" i="9"/>
  <c r="E60" i="9" s="1"/>
  <c r="C60" i="9" s="1"/>
  <c r="BF59" i="9"/>
  <c r="BE59" i="9"/>
  <c r="BC59" i="9"/>
  <c r="AY59" i="9"/>
  <c r="AP59" i="9"/>
  <c r="AK59" i="9"/>
  <c r="AG59" i="9"/>
  <c r="AE59" i="9"/>
  <c r="E59" i="9" s="1"/>
  <c r="C59" i="9" s="1"/>
  <c r="Z59" i="9"/>
  <c r="Q59" i="9"/>
  <c r="H59" i="9"/>
  <c r="E58" i="9"/>
  <c r="C58" i="9" s="1"/>
  <c r="E57" i="9"/>
  <c r="C57" i="9" s="1"/>
  <c r="E56" i="9"/>
  <c r="C56" i="9" s="1"/>
  <c r="E55" i="9"/>
  <c r="C55" i="9" s="1"/>
  <c r="E54" i="9"/>
  <c r="C54" i="9" s="1"/>
  <c r="E53" i="9"/>
  <c r="C53" i="9" s="1"/>
  <c r="E52" i="9"/>
  <c r="C52" i="9" s="1"/>
  <c r="E51" i="9"/>
  <c r="C51" i="9" s="1"/>
  <c r="E50" i="9"/>
  <c r="C50" i="9" s="1"/>
  <c r="E49" i="9"/>
  <c r="C49" i="9" s="1"/>
  <c r="E48" i="9"/>
  <c r="C48" i="9" s="1"/>
  <c r="E47" i="9"/>
  <c r="C47" i="9" s="1"/>
  <c r="E46" i="9"/>
  <c r="C46" i="9" s="1"/>
  <c r="E45" i="9"/>
  <c r="C45" i="9" s="1"/>
  <c r="E44" i="9"/>
  <c r="C44" i="9" s="1"/>
  <c r="P43" i="9"/>
  <c r="E43" i="9" s="1"/>
  <c r="C43" i="9" s="1"/>
  <c r="E42" i="9"/>
  <c r="C42" i="9" s="1"/>
  <c r="E41" i="9"/>
  <c r="C41" i="9"/>
  <c r="E40" i="9"/>
  <c r="C40" i="9" s="1"/>
  <c r="E39" i="9"/>
  <c r="C39" i="9"/>
  <c r="E38" i="9"/>
  <c r="C38" i="9" s="1"/>
  <c r="E37" i="9"/>
  <c r="C37" i="9"/>
  <c r="E36" i="9"/>
  <c r="C36" i="9" s="1"/>
  <c r="S35" i="9"/>
  <c r="E35" i="9"/>
  <c r="C35" i="9" s="1"/>
  <c r="E34" i="9"/>
  <c r="C34" i="9" s="1"/>
  <c r="E33" i="9"/>
  <c r="C33" i="9" s="1"/>
  <c r="E32" i="9"/>
  <c r="C32" i="9" s="1"/>
  <c r="AS31" i="9"/>
  <c r="E31" i="9" s="1"/>
  <c r="C31" i="9" s="1"/>
  <c r="Q30" i="9"/>
  <c r="M30" i="9"/>
  <c r="K30" i="9"/>
  <c r="H30" i="9"/>
  <c r="E30" i="9" s="1"/>
  <c r="C30" i="9" s="1"/>
  <c r="E29" i="9"/>
  <c r="C29" i="9" s="1"/>
  <c r="E28" i="9"/>
  <c r="C28" i="9"/>
  <c r="Q27" i="9"/>
  <c r="G27" i="9"/>
  <c r="E27" i="9" s="1"/>
  <c r="C27" i="9" s="1"/>
  <c r="E26" i="9"/>
  <c r="C26" i="9"/>
  <c r="E25" i="9"/>
  <c r="C25" i="9"/>
  <c r="E24" i="9"/>
  <c r="C24" i="9"/>
  <c r="E23" i="9"/>
  <c r="C23" i="9"/>
  <c r="E22" i="9"/>
  <c r="C22" i="9"/>
  <c r="E21" i="9"/>
  <c r="C21" i="9"/>
  <c r="E20" i="9"/>
  <c r="C20" i="9" s="1"/>
  <c r="E19" i="9"/>
  <c r="C19" i="9" s="1"/>
  <c r="I18" i="9"/>
  <c r="E18" i="9"/>
  <c r="C18" i="9" s="1"/>
  <c r="AA17" i="9"/>
  <c r="E17" i="9" s="1"/>
  <c r="C17" i="9" s="1"/>
  <c r="E16" i="9"/>
  <c r="C16" i="9"/>
  <c r="E15" i="9"/>
  <c r="C15" i="9"/>
  <c r="E14" i="9"/>
  <c r="C14" i="9"/>
  <c r="E13" i="9"/>
  <c r="C13" i="9"/>
  <c r="AU12" i="9"/>
  <c r="AA12" i="9"/>
  <c r="E12" i="9" s="1"/>
  <c r="C12" i="9" s="1"/>
  <c r="E11" i="9"/>
  <c r="C11" i="9"/>
  <c r="E10" i="9"/>
  <c r="C10" i="9"/>
  <c r="E9" i="9"/>
  <c r="C9" i="9"/>
  <c r="E8" i="9"/>
  <c r="C8" i="9"/>
  <c r="S7" i="9"/>
  <c r="E7" i="9"/>
  <c r="C7" i="9" s="1"/>
  <c r="E6" i="9"/>
  <c r="C6" i="9" s="1"/>
  <c r="E5" i="9"/>
  <c r="C5" i="9" s="1"/>
  <c r="AT4" i="9"/>
  <c r="E4" i="9" s="1"/>
  <c r="E3" i="9"/>
  <c r="C3" i="9" s="1"/>
  <c r="E2" i="9"/>
  <c r="C2" i="9"/>
  <c r="E62" i="9" l="1"/>
  <c r="C62" i="9" s="1"/>
  <c r="C4" i="9"/>
  <c r="C17" i="4" l="1"/>
  <c r="C18" i="4"/>
  <c r="C19" i="4"/>
  <c r="C20" i="4"/>
  <c r="B2" i="6"/>
  <c r="J538" i="2"/>
  <c r="B33" i="6" l="1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F5" i="6"/>
  <c r="B5" i="6" s="1"/>
  <c r="F4" i="6"/>
  <c r="G4" i="6"/>
  <c r="G3" i="6" s="1"/>
  <c r="E4" i="6"/>
  <c r="D3" i="6"/>
  <c r="E3" i="6" l="1"/>
  <c r="B4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F3" i="6"/>
  <c r="B3" i="6" s="1"/>
  <c r="B7" i="6" l="1"/>
  <c r="C35" i="4" l="1"/>
  <c r="G32" i="4"/>
  <c r="H32" i="4"/>
  <c r="I32" i="4"/>
  <c r="C14" i="4"/>
  <c r="C5" i="4"/>
  <c r="C7" i="4"/>
  <c r="C8" i="4"/>
  <c r="C9" i="4"/>
  <c r="C10" i="4"/>
  <c r="C11" i="4"/>
  <c r="C12" i="4"/>
  <c r="C13" i="4"/>
  <c r="C15" i="4"/>
  <c r="C16" i="4"/>
  <c r="C29" i="4"/>
  <c r="C33" i="4"/>
  <c r="C53" i="4"/>
  <c r="C67" i="4"/>
  <c r="C146" i="4"/>
  <c r="C272" i="4"/>
  <c r="C351" i="4"/>
  <c r="C364" i="4"/>
  <c r="C367" i="4"/>
  <c r="C3" i="4"/>
  <c r="C4" i="4"/>
  <c r="C2" i="4"/>
  <c r="L383" i="4"/>
  <c r="L382" i="4"/>
  <c r="L381" i="4"/>
  <c r="L380" i="4"/>
  <c r="L379" i="4"/>
  <c r="L378" i="4"/>
  <c r="L377" i="4"/>
  <c r="L376" i="4"/>
  <c r="L375" i="4"/>
  <c r="L374" i="4"/>
  <c r="L373" i="4"/>
  <c r="L371" i="4"/>
  <c r="L370" i="4"/>
  <c r="L368" i="4"/>
  <c r="L366" i="4"/>
  <c r="L365" i="4"/>
  <c r="L363" i="4"/>
  <c r="L361" i="4"/>
  <c r="L360" i="4"/>
  <c r="L359" i="4"/>
  <c r="L358" i="4"/>
  <c r="L357" i="4"/>
  <c r="L356" i="4"/>
  <c r="L355" i="4"/>
  <c r="L354" i="4"/>
  <c r="L353" i="4"/>
  <c r="L352" i="4"/>
  <c r="L350" i="4"/>
  <c r="L349" i="4"/>
  <c r="L348" i="4"/>
  <c r="L347" i="4"/>
  <c r="L346" i="4"/>
  <c r="L345" i="4"/>
  <c r="L344" i="4"/>
  <c r="L342" i="4"/>
  <c r="L341" i="4"/>
  <c r="L340" i="4"/>
  <c r="L339" i="4"/>
  <c r="L338" i="4"/>
  <c r="L337" i="4"/>
  <c r="L336" i="4"/>
  <c r="L331" i="4"/>
  <c r="L330" i="4"/>
  <c r="L329" i="4"/>
  <c r="L328" i="4"/>
  <c r="L327" i="4"/>
  <c r="L326" i="4"/>
  <c r="L325" i="4"/>
  <c r="L324" i="4"/>
  <c r="L321" i="4"/>
  <c r="L320" i="4"/>
  <c r="L319" i="4"/>
  <c r="L318" i="4"/>
  <c r="L317" i="4"/>
  <c r="L316" i="4"/>
  <c r="L315" i="4"/>
  <c r="L314" i="4"/>
  <c r="L313" i="4"/>
  <c r="L312" i="4"/>
  <c r="C312" i="4" s="1"/>
  <c r="L311" i="4"/>
  <c r="L310" i="4"/>
  <c r="L309" i="4"/>
  <c r="L308" i="4"/>
  <c r="L307" i="4"/>
  <c r="L306" i="4"/>
  <c r="L305" i="4"/>
  <c r="L304" i="4"/>
  <c r="L303" i="4"/>
  <c r="L278" i="4"/>
  <c r="L276" i="4"/>
  <c r="L275" i="4"/>
  <c r="L274" i="4"/>
  <c r="L273" i="4"/>
  <c r="L270" i="4"/>
  <c r="L268" i="4"/>
  <c r="L267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5" i="4"/>
  <c r="L214" i="4"/>
  <c r="L213" i="4"/>
  <c r="L211" i="4"/>
  <c r="L210" i="4"/>
  <c r="L209" i="4"/>
  <c r="L207" i="4"/>
  <c r="L205" i="4"/>
  <c r="L204" i="4"/>
  <c r="L201" i="4"/>
  <c r="L200" i="4"/>
  <c r="L199" i="4"/>
  <c r="L198" i="4"/>
  <c r="L197" i="4"/>
  <c r="L195" i="4"/>
  <c r="L191" i="4"/>
  <c r="L190" i="4"/>
  <c r="L189" i="4"/>
  <c r="L187" i="4"/>
  <c r="L186" i="4"/>
  <c r="L184" i="4"/>
  <c r="L181" i="4"/>
  <c r="L178" i="4"/>
  <c r="L176" i="4"/>
  <c r="L169" i="4"/>
  <c r="L167" i="4"/>
  <c r="L166" i="4"/>
  <c r="L164" i="4"/>
  <c r="L163" i="4"/>
  <c r="L160" i="4"/>
  <c r="L159" i="4"/>
  <c r="L158" i="4"/>
  <c r="L157" i="4"/>
  <c r="L156" i="4"/>
  <c r="L150" i="4"/>
  <c r="L145" i="4"/>
  <c r="L143" i="4"/>
  <c r="L139" i="4"/>
  <c r="L138" i="4"/>
  <c r="L136" i="4"/>
  <c r="L135" i="4"/>
  <c r="L134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8" i="4"/>
  <c r="L117" i="4"/>
  <c r="L116" i="4"/>
  <c r="L115" i="4"/>
  <c r="L114" i="4"/>
  <c r="L113" i="4"/>
  <c r="L112" i="4"/>
  <c r="L111" i="4"/>
  <c r="L110" i="4"/>
  <c r="L108" i="4"/>
  <c r="L107" i="4"/>
  <c r="L106" i="4"/>
  <c r="L105" i="4"/>
  <c r="L104" i="4"/>
  <c r="L103" i="4"/>
  <c r="L102" i="4"/>
  <c r="L101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2" i="4"/>
  <c r="L81" i="4"/>
  <c r="L80" i="4"/>
  <c r="L79" i="4"/>
  <c r="L78" i="4"/>
  <c r="L77" i="4"/>
  <c r="L76" i="4"/>
  <c r="L75" i="4"/>
  <c r="L73" i="4"/>
  <c r="L72" i="4"/>
  <c r="L71" i="4"/>
  <c r="L70" i="4"/>
  <c r="L69" i="4"/>
  <c r="L68" i="4"/>
  <c r="L66" i="4"/>
  <c r="L65" i="4"/>
  <c r="L64" i="4"/>
  <c r="L63" i="4"/>
  <c r="L62" i="4"/>
  <c r="L61" i="4"/>
  <c r="L60" i="4"/>
  <c r="L59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25" i="4"/>
  <c r="L22" i="4"/>
  <c r="K383" i="4"/>
  <c r="K382" i="4"/>
  <c r="K379" i="4"/>
  <c r="K377" i="4"/>
  <c r="K376" i="4"/>
  <c r="K375" i="4"/>
  <c r="K374" i="4"/>
  <c r="K373" i="4"/>
  <c r="K372" i="4"/>
  <c r="K371" i="4"/>
  <c r="K370" i="4"/>
  <c r="K366" i="4"/>
  <c r="K365" i="4"/>
  <c r="K363" i="4"/>
  <c r="K361" i="4"/>
  <c r="K360" i="4"/>
  <c r="K359" i="4"/>
  <c r="K358" i="4"/>
  <c r="K357" i="4"/>
  <c r="K356" i="4"/>
  <c r="K355" i="4"/>
  <c r="K353" i="4"/>
  <c r="K352" i="4"/>
  <c r="K350" i="4"/>
  <c r="K349" i="4"/>
  <c r="K348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7" i="4"/>
  <c r="K326" i="4"/>
  <c r="K325" i="4"/>
  <c r="K324" i="4"/>
  <c r="K323" i="4"/>
  <c r="K322" i="4"/>
  <c r="C322" i="4" s="1"/>
  <c r="K321" i="4"/>
  <c r="K320" i="4"/>
  <c r="K319" i="4"/>
  <c r="K318" i="4"/>
  <c r="K317" i="4"/>
  <c r="K316" i="4"/>
  <c r="K315" i="4"/>
  <c r="K314" i="4"/>
  <c r="K313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1" i="4"/>
  <c r="K270" i="4"/>
  <c r="K269" i="4"/>
  <c r="K268" i="4"/>
  <c r="K267" i="4"/>
  <c r="K266" i="4"/>
  <c r="K264" i="4"/>
  <c r="K263" i="4"/>
  <c r="K262" i="4"/>
  <c r="K261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2" i="4"/>
  <c r="K191" i="4"/>
  <c r="K190" i="4"/>
  <c r="K189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8" i="4"/>
  <c r="K167" i="4"/>
  <c r="K166" i="4"/>
  <c r="K165" i="4"/>
  <c r="K164" i="4"/>
  <c r="K163" i="4"/>
  <c r="K161" i="4"/>
  <c r="K160" i="4"/>
  <c r="K159" i="4"/>
  <c r="K158" i="4"/>
  <c r="K157" i="4"/>
  <c r="K156" i="4"/>
  <c r="K154" i="4"/>
  <c r="K153" i="4"/>
  <c r="K152" i="4"/>
  <c r="C152" i="4" s="1"/>
  <c r="K151" i="4"/>
  <c r="K150" i="4"/>
  <c r="K149" i="4"/>
  <c r="K148" i="4"/>
  <c r="K147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1" i="4"/>
  <c r="K105" i="4"/>
  <c r="K104" i="4"/>
  <c r="K103" i="4"/>
  <c r="K102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3" i="4"/>
  <c r="K76" i="4"/>
  <c r="K73" i="4"/>
  <c r="K72" i="4"/>
  <c r="K71" i="4"/>
  <c r="K70" i="4"/>
  <c r="K68" i="4"/>
  <c r="K64" i="4"/>
  <c r="K63" i="4"/>
  <c r="K62" i="4"/>
  <c r="K61" i="4"/>
  <c r="K60" i="4"/>
  <c r="K59" i="4"/>
  <c r="K55" i="4"/>
  <c r="K54" i="4"/>
  <c r="K52" i="4"/>
  <c r="K50" i="4"/>
  <c r="K49" i="4"/>
  <c r="K48" i="4"/>
  <c r="K47" i="4"/>
  <c r="K46" i="4"/>
  <c r="K44" i="4"/>
  <c r="K43" i="4"/>
  <c r="K42" i="4"/>
  <c r="K41" i="4"/>
  <c r="K39" i="4"/>
  <c r="K38" i="4"/>
  <c r="K37" i="4"/>
  <c r="K30" i="4"/>
  <c r="K26" i="4"/>
  <c r="K25" i="4"/>
  <c r="K23" i="4"/>
  <c r="K22" i="4"/>
  <c r="K21" i="4"/>
  <c r="J384" i="4"/>
  <c r="C384" i="4" s="1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6" i="4"/>
  <c r="J365" i="4"/>
  <c r="J363" i="4"/>
  <c r="J362" i="4"/>
  <c r="C362" i="4" s="1"/>
  <c r="J361" i="4"/>
  <c r="J360" i="4"/>
  <c r="J359" i="4"/>
  <c r="J358" i="4"/>
  <c r="J357" i="4"/>
  <c r="J356" i="4"/>
  <c r="J355" i="4"/>
  <c r="J354" i="4"/>
  <c r="J353" i="4"/>
  <c r="J352" i="4"/>
  <c r="J350" i="4"/>
  <c r="J349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2" i="4"/>
  <c r="J331" i="4"/>
  <c r="J330" i="4"/>
  <c r="J329" i="4"/>
  <c r="J327" i="4"/>
  <c r="J326" i="4"/>
  <c r="J325" i="4"/>
  <c r="J324" i="4"/>
  <c r="J323" i="4"/>
  <c r="J321" i="4"/>
  <c r="J320" i="4"/>
  <c r="J319" i="4"/>
  <c r="J318" i="4"/>
  <c r="J317" i="4"/>
  <c r="J316" i="4"/>
  <c r="J315" i="4"/>
  <c r="J314" i="4"/>
  <c r="J313" i="4"/>
  <c r="J311" i="4"/>
  <c r="J310" i="4"/>
  <c r="J309" i="4"/>
  <c r="J308" i="4"/>
  <c r="J307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5" i="4"/>
  <c r="J214" i="4"/>
  <c r="J213" i="4"/>
  <c r="J211" i="4"/>
  <c r="J210" i="4"/>
  <c r="J209" i="4"/>
  <c r="J208" i="4"/>
  <c r="J207" i="4"/>
  <c r="J206" i="4"/>
  <c r="J205" i="4"/>
  <c r="J204" i="4"/>
  <c r="J202" i="4"/>
  <c r="J199" i="4"/>
  <c r="J198" i="4"/>
  <c r="J197" i="4"/>
  <c r="J196" i="4"/>
  <c r="J195" i="4"/>
  <c r="J192" i="4"/>
  <c r="J190" i="4"/>
  <c r="J189" i="4"/>
  <c r="J187" i="4"/>
  <c r="J186" i="4"/>
  <c r="J185" i="4"/>
  <c r="J184" i="4"/>
  <c r="J182" i="4"/>
  <c r="J181" i="4"/>
  <c r="J180" i="4"/>
  <c r="J179" i="4"/>
  <c r="J178" i="4"/>
  <c r="J177" i="4"/>
  <c r="J176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1" i="4"/>
  <c r="J160" i="4"/>
  <c r="J159" i="4"/>
  <c r="J158" i="4"/>
  <c r="J157" i="4"/>
  <c r="J156" i="4"/>
  <c r="J155" i="4"/>
  <c r="C155" i="4" s="1"/>
  <c r="J154" i="4"/>
  <c r="J153" i="4"/>
  <c r="J151" i="4"/>
  <c r="J150" i="4"/>
  <c r="J149" i="4"/>
  <c r="J148" i="4"/>
  <c r="J147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5" i="4"/>
  <c r="J74" i="4"/>
  <c r="J73" i="4"/>
  <c r="J72" i="4"/>
  <c r="J71" i="4"/>
  <c r="J70" i="4"/>
  <c r="J68" i="4"/>
  <c r="J66" i="4"/>
  <c r="J64" i="4"/>
  <c r="J63" i="4"/>
  <c r="J62" i="4"/>
  <c r="J60" i="4"/>
  <c r="J59" i="4"/>
  <c r="J58" i="4"/>
  <c r="J57" i="4"/>
  <c r="J56" i="4"/>
  <c r="J55" i="4"/>
  <c r="J54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4" i="4"/>
  <c r="J31" i="4"/>
  <c r="J30" i="4"/>
  <c r="J28" i="4"/>
  <c r="J27" i="4"/>
  <c r="J26" i="4"/>
  <c r="J25" i="4"/>
  <c r="J23" i="4"/>
  <c r="J22" i="4"/>
  <c r="J21" i="4"/>
  <c r="I383" i="4"/>
  <c r="I382" i="4"/>
  <c r="I381" i="4"/>
  <c r="I380" i="4"/>
  <c r="I379" i="4"/>
  <c r="I377" i="4"/>
  <c r="I376" i="4"/>
  <c r="I375" i="4"/>
  <c r="I374" i="4"/>
  <c r="I373" i="4"/>
  <c r="I372" i="4"/>
  <c r="I371" i="4"/>
  <c r="I368" i="4"/>
  <c r="I366" i="4"/>
  <c r="I365" i="4"/>
  <c r="I363" i="4"/>
  <c r="I361" i="4"/>
  <c r="I360" i="4"/>
  <c r="I359" i="4"/>
  <c r="I358" i="4"/>
  <c r="I357" i="4"/>
  <c r="I355" i="4"/>
  <c r="I354" i="4"/>
  <c r="I353" i="4"/>
  <c r="I352" i="4"/>
  <c r="I350" i="4"/>
  <c r="I349" i="4"/>
  <c r="I348" i="4"/>
  <c r="I347" i="4"/>
  <c r="I346" i="4"/>
  <c r="I345" i="4"/>
  <c r="I344" i="4"/>
  <c r="I343" i="4"/>
  <c r="I341" i="4"/>
  <c r="I339" i="4"/>
  <c r="I337" i="4"/>
  <c r="I336" i="4"/>
  <c r="I330" i="4"/>
  <c r="I329" i="4"/>
  <c r="I327" i="4"/>
  <c r="I326" i="4"/>
  <c r="C326" i="4" s="1"/>
  <c r="I325" i="4"/>
  <c r="I324" i="4"/>
  <c r="I321" i="4"/>
  <c r="I319" i="4"/>
  <c r="I318" i="4"/>
  <c r="I316" i="4"/>
  <c r="I315" i="4"/>
  <c r="I314" i="4"/>
  <c r="I313" i="4"/>
  <c r="I311" i="4"/>
  <c r="I310" i="4"/>
  <c r="I308" i="4"/>
  <c r="I305" i="4"/>
  <c r="I304" i="4"/>
  <c r="I303" i="4"/>
  <c r="I302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1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C203" i="4" s="1"/>
  <c r="I202" i="4"/>
  <c r="I201" i="4"/>
  <c r="I200" i="4"/>
  <c r="I199" i="4"/>
  <c r="I198" i="4"/>
  <c r="I197" i="4"/>
  <c r="I196" i="4"/>
  <c r="I195" i="4"/>
  <c r="I192" i="4"/>
  <c r="I191" i="4"/>
  <c r="I190" i="4"/>
  <c r="I189" i="4"/>
  <c r="I187" i="4"/>
  <c r="I185" i="4"/>
  <c r="I184" i="4"/>
  <c r="I183" i="4"/>
  <c r="I182" i="4"/>
  <c r="I180" i="4"/>
  <c r="I179" i="4"/>
  <c r="I178" i="4"/>
  <c r="I177" i="4"/>
  <c r="I176" i="4"/>
  <c r="I171" i="4"/>
  <c r="I169" i="4"/>
  <c r="I168" i="4"/>
  <c r="I167" i="4"/>
  <c r="I166" i="4"/>
  <c r="I165" i="4"/>
  <c r="I164" i="4"/>
  <c r="I163" i="4"/>
  <c r="I161" i="4"/>
  <c r="I160" i="4"/>
  <c r="I159" i="4"/>
  <c r="I158" i="4"/>
  <c r="I157" i="4"/>
  <c r="I156" i="4"/>
  <c r="I154" i="4"/>
  <c r="I153" i="4"/>
  <c r="I151" i="4"/>
  <c r="I150" i="4"/>
  <c r="I149" i="4"/>
  <c r="I148" i="4"/>
  <c r="I147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8" i="4"/>
  <c r="I77" i="4"/>
  <c r="I76" i="4"/>
  <c r="I75" i="4"/>
  <c r="I74" i="4"/>
  <c r="I73" i="4"/>
  <c r="I71" i="4"/>
  <c r="I69" i="4"/>
  <c r="I68" i="4"/>
  <c r="I66" i="4"/>
  <c r="I64" i="4"/>
  <c r="I63" i="4"/>
  <c r="I62" i="4"/>
  <c r="I61" i="4"/>
  <c r="I60" i="4"/>
  <c r="I59" i="4"/>
  <c r="I58" i="4"/>
  <c r="I57" i="4"/>
  <c r="I56" i="4"/>
  <c r="I55" i="4"/>
  <c r="I54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4" i="4"/>
  <c r="I31" i="4"/>
  <c r="I30" i="4"/>
  <c r="I28" i="4"/>
  <c r="I26" i="4"/>
  <c r="I25" i="4"/>
  <c r="I23" i="4"/>
  <c r="I22" i="4"/>
  <c r="I21" i="4"/>
  <c r="H383" i="4"/>
  <c r="H382" i="4"/>
  <c r="H381" i="4"/>
  <c r="H380" i="4"/>
  <c r="H379" i="4"/>
  <c r="H377" i="4"/>
  <c r="H376" i="4"/>
  <c r="H375" i="4"/>
  <c r="H374" i="4"/>
  <c r="H373" i="4"/>
  <c r="H372" i="4"/>
  <c r="H371" i="4"/>
  <c r="H370" i="4"/>
  <c r="H365" i="4"/>
  <c r="H361" i="4"/>
  <c r="H359" i="4"/>
  <c r="H358" i="4"/>
  <c r="H357" i="4"/>
  <c r="H356" i="4"/>
  <c r="H355" i="4"/>
  <c r="H354" i="4"/>
  <c r="H353" i="4"/>
  <c r="H352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8" i="4"/>
  <c r="H327" i="4"/>
  <c r="H325" i="4"/>
  <c r="H324" i="4"/>
  <c r="H320" i="4"/>
  <c r="H317" i="4"/>
  <c r="H316" i="4"/>
  <c r="H315" i="4"/>
  <c r="H314" i="4"/>
  <c r="H313" i="4"/>
  <c r="H311" i="4"/>
  <c r="H310" i="4"/>
  <c r="H308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6" i="4"/>
  <c r="H285" i="4"/>
  <c r="H283" i="4"/>
  <c r="H282" i="4"/>
  <c r="H281" i="4"/>
  <c r="H280" i="4"/>
  <c r="H279" i="4"/>
  <c r="H278" i="4"/>
  <c r="H277" i="4"/>
  <c r="H276" i="4"/>
  <c r="H274" i="4"/>
  <c r="H273" i="4"/>
  <c r="H271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2" i="4"/>
  <c r="H231" i="4"/>
  <c r="H230" i="4"/>
  <c r="H229" i="4"/>
  <c r="H228" i="4"/>
  <c r="H227" i="4"/>
  <c r="H226" i="4"/>
  <c r="H225" i="4"/>
  <c r="H224" i="4"/>
  <c r="H223" i="4"/>
  <c r="H221" i="4"/>
  <c r="H220" i="4"/>
  <c r="H218" i="4"/>
  <c r="H215" i="4"/>
  <c r="H214" i="4"/>
  <c r="H211" i="4"/>
  <c r="H210" i="4"/>
  <c r="H209" i="4"/>
  <c r="H208" i="4"/>
  <c r="H207" i="4"/>
  <c r="H206" i="4"/>
  <c r="H205" i="4"/>
  <c r="H204" i="4"/>
  <c r="H201" i="4"/>
  <c r="H200" i="4"/>
  <c r="H199" i="4"/>
  <c r="H198" i="4"/>
  <c r="H197" i="4"/>
  <c r="H196" i="4"/>
  <c r="H195" i="4"/>
  <c r="H194" i="4"/>
  <c r="H193" i="4"/>
  <c r="C193" i="4" s="1"/>
  <c r="H192" i="4"/>
  <c r="H190" i="4"/>
  <c r="H189" i="4"/>
  <c r="H188" i="4"/>
  <c r="C188" i="4" s="1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2" i="4"/>
  <c r="H171" i="4"/>
  <c r="H170" i="4"/>
  <c r="H169" i="4"/>
  <c r="H168" i="4"/>
  <c r="H167" i="4"/>
  <c r="H166" i="4"/>
  <c r="H164" i="4"/>
  <c r="H163" i="4"/>
  <c r="H162" i="4"/>
  <c r="C162" i="4" s="1"/>
  <c r="H161" i="4"/>
  <c r="H160" i="4"/>
  <c r="H159" i="4"/>
  <c r="H158" i="4"/>
  <c r="H157" i="4"/>
  <c r="H156" i="4"/>
  <c r="H154" i="4"/>
  <c r="H151" i="4"/>
  <c r="H150" i="4"/>
  <c r="H149" i="4"/>
  <c r="H148" i="4"/>
  <c r="H147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8" i="4"/>
  <c r="H117" i="4"/>
  <c r="H116" i="4"/>
  <c r="H115" i="4"/>
  <c r="H114" i="4"/>
  <c r="H113" i="4"/>
  <c r="H112" i="4"/>
  <c r="H111" i="4"/>
  <c r="H109" i="4"/>
  <c r="H108" i="4"/>
  <c r="H107" i="4"/>
  <c r="H106" i="4"/>
  <c r="H105" i="4"/>
  <c r="H104" i="4"/>
  <c r="H103" i="4"/>
  <c r="H102" i="4"/>
  <c r="H101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8" i="4"/>
  <c r="H77" i="4"/>
  <c r="H76" i="4"/>
  <c r="H75" i="4"/>
  <c r="H74" i="4"/>
  <c r="H73" i="4"/>
  <c r="H71" i="4"/>
  <c r="H68" i="4"/>
  <c r="H65" i="4"/>
  <c r="H64" i="4"/>
  <c r="H63" i="4"/>
  <c r="H62" i="4"/>
  <c r="H60" i="4"/>
  <c r="H59" i="4"/>
  <c r="H58" i="4"/>
  <c r="H57" i="4"/>
  <c r="H55" i="4"/>
  <c r="H54" i="4"/>
  <c r="H52" i="4"/>
  <c r="H51" i="4"/>
  <c r="H49" i="4"/>
  <c r="H48" i="4"/>
  <c r="H47" i="4"/>
  <c r="H45" i="4"/>
  <c r="H44" i="4"/>
  <c r="H43" i="4"/>
  <c r="H42" i="4"/>
  <c r="H41" i="4"/>
  <c r="H40" i="4"/>
  <c r="H39" i="4"/>
  <c r="H38" i="4"/>
  <c r="H37" i="4"/>
  <c r="H36" i="4"/>
  <c r="H31" i="4"/>
  <c r="H30" i="4"/>
  <c r="H28" i="4"/>
  <c r="H27" i="4"/>
  <c r="H26" i="4"/>
  <c r="H25" i="4"/>
  <c r="H23" i="4"/>
  <c r="C23" i="4" s="1"/>
  <c r="H22" i="4"/>
  <c r="H21" i="4"/>
  <c r="C21" i="4" s="1"/>
  <c r="G385" i="4"/>
  <c r="C385" i="4" s="1"/>
  <c r="G383" i="4"/>
  <c r="G382" i="4"/>
  <c r="G381" i="4"/>
  <c r="G380" i="4"/>
  <c r="G379" i="4"/>
  <c r="G377" i="4"/>
  <c r="G376" i="4"/>
  <c r="G375" i="4"/>
  <c r="G374" i="4"/>
  <c r="G373" i="4"/>
  <c r="G372" i="4"/>
  <c r="G371" i="4"/>
  <c r="G370" i="4"/>
  <c r="G369" i="4"/>
  <c r="C369" i="4" s="1"/>
  <c r="G365" i="4"/>
  <c r="G361" i="4"/>
  <c r="G359" i="4"/>
  <c r="G358" i="4"/>
  <c r="G357" i="4"/>
  <c r="G356" i="4"/>
  <c r="G355" i="4"/>
  <c r="G354" i="4"/>
  <c r="G353" i="4"/>
  <c r="G352" i="4"/>
  <c r="G350" i="4"/>
  <c r="G348" i="4"/>
  <c r="G347" i="4"/>
  <c r="G345" i="4"/>
  <c r="G344" i="4"/>
  <c r="G343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7" i="4"/>
  <c r="G325" i="4"/>
  <c r="G324" i="4"/>
  <c r="G320" i="4"/>
  <c r="G319" i="4"/>
  <c r="G318" i="4"/>
  <c r="G317" i="4"/>
  <c r="G316" i="4"/>
  <c r="G315" i="4"/>
  <c r="G314" i="4"/>
  <c r="G313" i="4"/>
  <c r="G311" i="4"/>
  <c r="G300" i="4"/>
  <c r="G299" i="4"/>
  <c r="G298" i="4"/>
  <c r="G297" i="4"/>
  <c r="G296" i="4"/>
  <c r="G294" i="4"/>
  <c r="G293" i="4"/>
  <c r="G292" i="4"/>
  <c r="G291" i="4"/>
  <c r="G290" i="4"/>
  <c r="G289" i="4"/>
  <c r="G288" i="4"/>
  <c r="G286" i="4"/>
  <c r="G285" i="4"/>
  <c r="G284" i="4"/>
  <c r="G283" i="4"/>
  <c r="G282" i="4"/>
  <c r="G281" i="4"/>
  <c r="G280" i="4"/>
  <c r="G279" i="4"/>
  <c r="G278" i="4"/>
  <c r="G277" i="4"/>
  <c r="G274" i="4"/>
  <c r="G273" i="4"/>
  <c r="G271" i="4"/>
  <c r="G269" i="4"/>
  <c r="G268" i="4"/>
  <c r="G267" i="4"/>
  <c r="G266" i="4"/>
  <c r="G265" i="4"/>
  <c r="G264" i="4"/>
  <c r="G263" i="4"/>
  <c r="G262" i="4"/>
  <c r="G260" i="4"/>
  <c r="G259" i="4"/>
  <c r="G258" i="4"/>
  <c r="G257" i="4"/>
  <c r="G256" i="4"/>
  <c r="G255" i="4"/>
  <c r="G254" i="4"/>
  <c r="G253" i="4"/>
  <c r="G252" i="4"/>
  <c r="G251" i="4"/>
  <c r="G249" i="4"/>
  <c r="G248" i="4"/>
  <c r="G247" i="4"/>
  <c r="G246" i="4"/>
  <c r="G245" i="4"/>
  <c r="G244" i="4"/>
  <c r="G243" i="4"/>
  <c r="G241" i="4"/>
  <c r="G240" i="4"/>
  <c r="G239" i="4"/>
  <c r="G238" i="4"/>
  <c r="G237" i="4"/>
  <c r="G236" i="4"/>
  <c r="G235" i="4"/>
  <c r="G234" i="4"/>
  <c r="G232" i="4"/>
  <c r="G231" i="4"/>
  <c r="G230" i="4"/>
  <c r="G229" i="4"/>
  <c r="G228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0" i="4"/>
  <c r="G199" i="4"/>
  <c r="G198" i="4"/>
  <c r="G196" i="4"/>
  <c r="G194" i="4"/>
  <c r="C194" i="4" s="1"/>
  <c r="G187" i="4"/>
  <c r="G186" i="4"/>
  <c r="G185" i="4"/>
  <c r="G184" i="4"/>
  <c r="G183" i="4"/>
  <c r="G182" i="4"/>
  <c r="G181" i="4"/>
  <c r="G180" i="4"/>
  <c r="G179" i="4"/>
  <c r="G178" i="4"/>
  <c r="G175" i="4"/>
  <c r="G170" i="4"/>
  <c r="G167" i="4"/>
  <c r="G165" i="4"/>
  <c r="G163" i="4"/>
  <c r="G161" i="4"/>
  <c r="G160" i="4"/>
  <c r="G159" i="4"/>
  <c r="G158" i="4"/>
  <c r="G157" i="4"/>
  <c r="G156" i="4"/>
  <c r="G154" i="4"/>
  <c r="G153" i="4"/>
  <c r="G150" i="4"/>
  <c r="G149" i="4"/>
  <c r="G148" i="4"/>
  <c r="G147" i="4"/>
  <c r="G144" i="4"/>
  <c r="G143" i="4"/>
  <c r="G142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8" i="4"/>
  <c r="G115" i="4"/>
  <c r="G112" i="4"/>
  <c r="G111" i="4"/>
  <c r="G109" i="4"/>
  <c r="G108" i="4"/>
  <c r="G106" i="4"/>
  <c r="G105" i="4"/>
  <c r="G104" i="4"/>
  <c r="G103" i="4"/>
  <c r="G102" i="4"/>
  <c r="G101" i="4"/>
  <c r="G99" i="4"/>
  <c r="G98" i="4"/>
  <c r="G97" i="4"/>
  <c r="G96" i="4"/>
  <c r="G95" i="4"/>
  <c r="G94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8" i="4"/>
  <c r="G77" i="4"/>
  <c r="G76" i="4"/>
  <c r="G75" i="4"/>
  <c r="G74" i="4"/>
  <c r="G73" i="4"/>
  <c r="G71" i="4"/>
  <c r="G69" i="4"/>
  <c r="G68" i="4"/>
  <c r="G64" i="4"/>
  <c r="G63" i="4"/>
  <c r="G62" i="4"/>
  <c r="G60" i="4"/>
  <c r="G59" i="4"/>
  <c r="G58" i="4"/>
  <c r="G57" i="4"/>
  <c r="G56" i="4"/>
  <c r="G55" i="4"/>
  <c r="G54" i="4"/>
  <c r="G52" i="4"/>
  <c r="G51" i="4"/>
  <c r="G49" i="4"/>
  <c r="G48" i="4"/>
  <c r="G44" i="4"/>
  <c r="G43" i="4"/>
  <c r="G42" i="4"/>
  <c r="G41" i="4"/>
  <c r="G40" i="4"/>
  <c r="G39" i="4"/>
  <c r="G38" i="4"/>
  <c r="G37" i="4"/>
  <c r="G36" i="4"/>
  <c r="G31" i="4"/>
  <c r="G30" i="4"/>
  <c r="G28" i="4"/>
  <c r="G27" i="4"/>
  <c r="G26" i="4"/>
  <c r="G25" i="4"/>
  <c r="G24" i="4"/>
  <c r="C24" i="4" s="1"/>
  <c r="G6" i="4"/>
  <c r="C6" i="4" s="1"/>
  <c r="F379" i="4"/>
  <c r="F377" i="4"/>
  <c r="F376" i="4"/>
  <c r="F373" i="4"/>
  <c r="F371" i="4"/>
  <c r="F277" i="4"/>
  <c r="F274" i="4"/>
  <c r="F273" i="4"/>
  <c r="F253" i="4"/>
  <c r="F248" i="4"/>
  <c r="F232" i="4"/>
  <c r="F230" i="4"/>
  <c r="F219" i="4"/>
  <c r="F218" i="4"/>
  <c r="F215" i="4"/>
  <c r="F210" i="4"/>
  <c r="F134" i="4"/>
  <c r="F125" i="4"/>
  <c r="F89" i="4"/>
  <c r="F88" i="4"/>
  <c r="F85" i="4"/>
  <c r="F64" i="4"/>
  <c r="F63" i="4"/>
  <c r="F62" i="4"/>
  <c r="F60" i="4"/>
  <c r="F25" i="4"/>
  <c r="E379" i="4"/>
  <c r="E376" i="4"/>
  <c r="E374" i="4"/>
  <c r="E371" i="4"/>
  <c r="E277" i="4"/>
  <c r="E274" i="4"/>
  <c r="E273" i="4"/>
  <c r="E253" i="4"/>
  <c r="E249" i="4"/>
  <c r="E247" i="4"/>
  <c r="E245" i="4"/>
  <c r="E219" i="4"/>
  <c r="E218" i="4"/>
  <c r="E215" i="4"/>
  <c r="E212" i="4"/>
  <c r="E210" i="4"/>
  <c r="E209" i="4"/>
  <c r="E208" i="4"/>
  <c r="E206" i="4"/>
  <c r="E205" i="4"/>
  <c r="E134" i="4"/>
  <c r="E125" i="4"/>
  <c r="E89" i="4"/>
  <c r="E64" i="4"/>
  <c r="E63" i="4"/>
  <c r="E62" i="4"/>
  <c r="E28" i="4"/>
  <c r="E25" i="4"/>
  <c r="D381" i="4"/>
  <c r="D379" i="4"/>
  <c r="D376" i="4"/>
  <c r="D261" i="4"/>
  <c r="D259" i="4"/>
  <c r="D253" i="4"/>
  <c r="D219" i="4"/>
  <c r="D218" i="4"/>
  <c r="D215" i="4"/>
  <c r="D212" i="4"/>
  <c r="D210" i="4"/>
  <c r="D209" i="4"/>
  <c r="D208" i="4"/>
  <c r="D206" i="4"/>
  <c r="D205" i="4"/>
  <c r="D89" i="4"/>
  <c r="I563" i="2"/>
  <c r="J562" i="2"/>
  <c r="J553" i="2"/>
  <c r="C354" i="4" l="1"/>
  <c r="C22" i="4"/>
  <c r="C66" i="4"/>
  <c r="C287" i="4"/>
  <c r="C165" i="4"/>
  <c r="C356" i="4"/>
  <c r="C328" i="4"/>
  <c r="C191" i="4"/>
  <c r="C355" i="4"/>
  <c r="C168" i="4"/>
  <c r="C119" i="4"/>
  <c r="C202" i="4"/>
  <c r="C233" i="4"/>
  <c r="C323" i="4"/>
  <c r="G141" i="4"/>
  <c r="C62" i="4"/>
  <c r="C64" i="4"/>
  <c r="C125" i="4"/>
  <c r="C261" i="4"/>
  <c r="C25" i="4"/>
  <c r="C247" i="4"/>
  <c r="C88" i="4"/>
  <c r="C230" i="4"/>
  <c r="C248" i="4"/>
  <c r="C373" i="4"/>
  <c r="C377" i="4"/>
  <c r="C27" i="4"/>
  <c r="C30" i="4"/>
  <c r="C49" i="4"/>
  <c r="C57" i="4"/>
  <c r="C75" i="4"/>
  <c r="C77" i="4"/>
  <c r="C80" i="4"/>
  <c r="C82" i="4"/>
  <c r="C86" i="4"/>
  <c r="C90" i="4"/>
  <c r="C95" i="4"/>
  <c r="C97" i="4"/>
  <c r="C102" i="4"/>
  <c r="C104" i="4"/>
  <c r="C112" i="4"/>
  <c r="C138" i="4"/>
  <c r="C140" i="4"/>
  <c r="C163" i="4"/>
  <c r="C175" i="4"/>
  <c r="C179" i="4"/>
  <c r="C187" i="4"/>
  <c r="C196" i="4"/>
  <c r="C222" i="4"/>
  <c r="C226" i="4"/>
  <c r="C229" i="4"/>
  <c r="C231" i="4"/>
  <c r="C234" i="4"/>
  <c r="C238" i="4"/>
  <c r="C243" i="4"/>
  <c r="C254" i="4"/>
  <c r="C256" i="4"/>
  <c r="C258" i="4"/>
  <c r="C260" i="4"/>
  <c r="C263" i="4"/>
  <c r="C267" i="4"/>
  <c r="C269" i="4"/>
  <c r="C279" i="4"/>
  <c r="C281" i="4"/>
  <c r="C283" i="4"/>
  <c r="C285" i="4"/>
  <c r="C288" i="4"/>
  <c r="C290" i="4"/>
  <c r="C292" i="4"/>
  <c r="C294" i="4"/>
  <c r="C299" i="4"/>
  <c r="C316" i="4"/>
  <c r="C318" i="4"/>
  <c r="C320" i="4"/>
  <c r="C325" i="4"/>
  <c r="C331" i="4"/>
  <c r="C335" i="4"/>
  <c r="C339" i="4"/>
  <c r="C344" i="4"/>
  <c r="C347" i="4"/>
  <c r="C350" i="4"/>
  <c r="C353" i="4"/>
  <c r="C357" i="4"/>
  <c r="C359" i="4"/>
  <c r="C365" i="4"/>
  <c r="C370" i="4"/>
  <c r="C372" i="4"/>
  <c r="C383" i="4"/>
  <c r="C45" i="4"/>
  <c r="C107" i="4"/>
  <c r="C114" i="4"/>
  <c r="C116" i="4"/>
  <c r="C141" i="4"/>
  <c r="C145" i="4"/>
  <c r="C172" i="4"/>
  <c r="C176" i="4"/>
  <c r="C190" i="4"/>
  <c r="C195" i="4"/>
  <c r="C197" i="4"/>
  <c r="C201" i="4"/>
  <c r="C227" i="4"/>
  <c r="C242" i="4"/>
  <c r="C250" i="4"/>
  <c r="C295" i="4"/>
  <c r="C301" i="4"/>
  <c r="C303" i="4"/>
  <c r="C305" i="4"/>
  <c r="C310" i="4"/>
  <c r="C342" i="4"/>
  <c r="C346" i="4"/>
  <c r="C110" i="4"/>
  <c r="C275" i="4"/>
  <c r="C360" i="4"/>
  <c r="C363" i="4"/>
  <c r="C309" i="4"/>
  <c r="C214" i="4"/>
  <c r="C216" i="4"/>
  <c r="C32" i="4"/>
  <c r="C259" i="4"/>
  <c r="C381" i="4"/>
  <c r="C28" i="4"/>
  <c r="C134" i="4"/>
  <c r="C245" i="4"/>
  <c r="C249" i="4"/>
  <c r="C374" i="4"/>
  <c r="C232" i="4"/>
  <c r="C26" i="4"/>
  <c r="C31" i="4"/>
  <c r="C37" i="4"/>
  <c r="C39" i="4"/>
  <c r="C41" i="4"/>
  <c r="C43" i="4"/>
  <c r="C48" i="4"/>
  <c r="C51" i="4"/>
  <c r="C54" i="4"/>
  <c r="C56" i="4"/>
  <c r="C58" i="4"/>
  <c r="C68" i="4"/>
  <c r="C71" i="4"/>
  <c r="C74" i="4"/>
  <c r="C76" i="4"/>
  <c r="C78" i="4"/>
  <c r="C81" i="4"/>
  <c r="C83" i="4"/>
  <c r="C87" i="4"/>
  <c r="C91" i="4"/>
  <c r="C94" i="4"/>
  <c r="C96" i="4"/>
  <c r="C98" i="4"/>
  <c r="C101" i="4"/>
  <c r="C103" i="4"/>
  <c r="C105" i="4"/>
  <c r="C108" i="4"/>
  <c r="C111" i="4"/>
  <c r="C115" i="4"/>
  <c r="C120" i="4"/>
  <c r="C122" i="4"/>
  <c r="C124" i="4"/>
  <c r="C126" i="4"/>
  <c r="C128" i="4"/>
  <c r="C130" i="4"/>
  <c r="C133" i="4"/>
  <c r="C135" i="4"/>
  <c r="C137" i="4"/>
  <c r="C139" i="4"/>
  <c r="C142" i="4"/>
  <c r="C144" i="4"/>
  <c r="C148" i="4"/>
  <c r="C150" i="4"/>
  <c r="C154" i="4"/>
  <c r="C157" i="4"/>
  <c r="C159" i="4"/>
  <c r="C161" i="4"/>
  <c r="C170" i="4"/>
  <c r="C178" i="4"/>
  <c r="C180" i="4"/>
  <c r="C182" i="4"/>
  <c r="C184" i="4"/>
  <c r="C186" i="4"/>
  <c r="C198" i="4"/>
  <c r="C200" i="4"/>
  <c r="C207" i="4"/>
  <c r="C211" i="4"/>
  <c r="C213" i="4"/>
  <c r="C217" i="4"/>
  <c r="C221" i="4"/>
  <c r="C223" i="4"/>
  <c r="C225" i="4"/>
  <c r="C228" i="4"/>
  <c r="C235" i="4"/>
  <c r="C237" i="4"/>
  <c r="C239" i="4"/>
  <c r="C241" i="4"/>
  <c r="C244" i="4"/>
  <c r="C246" i="4"/>
  <c r="C251" i="4"/>
  <c r="C255" i="4"/>
  <c r="C257" i="4"/>
  <c r="C262" i="4"/>
  <c r="C264" i="4"/>
  <c r="C266" i="4"/>
  <c r="C268" i="4"/>
  <c r="C271" i="4"/>
  <c r="C278" i="4"/>
  <c r="C280" i="4"/>
  <c r="C282" i="4"/>
  <c r="C284" i="4"/>
  <c r="C286" i="4"/>
  <c r="C289" i="4"/>
  <c r="C291" i="4"/>
  <c r="C293" i="4"/>
  <c r="C296" i="4"/>
  <c r="C298" i="4"/>
  <c r="C300" i="4"/>
  <c r="C313" i="4"/>
  <c r="C315" i="4"/>
  <c r="C317" i="4"/>
  <c r="C319" i="4"/>
  <c r="C324" i="4"/>
  <c r="C327" i="4"/>
  <c r="C330" i="4"/>
  <c r="C332" i="4"/>
  <c r="C334" i="4"/>
  <c r="C336" i="4"/>
  <c r="C338" i="4"/>
  <c r="C340" i="4"/>
  <c r="C343" i="4"/>
  <c r="C345" i="4"/>
  <c r="C348" i="4"/>
  <c r="C352" i="4"/>
  <c r="C358" i="4"/>
  <c r="C361" i="4"/>
  <c r="C375" i="4"/>
  <c r="C380" i="4"/>
  <c r="C382" i="4"/>
  <c r="C47" i="4"/>
  <c r="C65" i="4"/>
  <c r="C93" i="4"/>
  <c r="C113" i="4"/>
  <c r="C177" i="4"/>
  <c r="C192" i="4"/>
  <c r="C276" i="4"/>
  <c r="C302" i="4"/>
  <c r="C304" i="4"/>
  <c r="C308" i="4"/>
  <c r="C46" i="4"/>
  <c r="C50" i="4"/>
  <c r="C61" i="4"/>
  <c r="C368" i="4"/>
  <c r="C70" i="4"/>
  <c r="C72" i="4"/>
  <c r="C79" i="4"/>
  <c r="C173" i="4"/>
  <c r="C270" i="4"/>
  <c r="C378" i="4"/>
  <c r="C212" i="4"/>
  <c r="C274" i="4"/>
  <c r="C84" i="4"/>
  <c r="C118" i="4"/>
  <c r="C199" i="4"/>
  <c r="C220" i="4"/>
  <c r="C236" i="4"/>
  <c r="C240" i="4"/>
  <c r="C252" i="4"/>
  <c r="C297" i="4"/>
  <c r="C55" i="4"/>
  <c r="C156" i="4"/>
  <c r="C189" i="4"/>
  <c r="C311" i="4"/>
  <c r="C314" i="4"/>
  <c r="C329" i="4"/>
  <c r="C349" i="4"/>
  <c r="C34" i="4"/>
  <c r="C99" i="4"/>
  <c r="C136" i="4"/>
  <c r="C204" i="4"/>
  <c r="C224" i="4"/>
  <c r="C321" i="4"/>
  <c r="C106" i="4"/>
  <c r="C307" i="4"/>
  <c r="C333" i="4"/>
  <c r="C337" i="4"/>
  <c r="C341" i="4"/>
  <c r="C366" i="4"/>
  <c r="C265" i="4"/>
  <c r="C306" i="4"/>
  <c r="C205" i="4"/>
  <c r="C208" i="4"/>
  <c r="C210" i="4"/>
  <c r="C215" i="4"/>
  <c r="C219" i="4"/>
  <c r="C376" i="4"/>
  <c r="C63" i="4"/>
  <c r="C206" i="4"/>
  <c r="C218" i="4"/>
  <c r="C273" i="4"/>
  <c r="C277" i="4"/>
  <c r="C60" i="4"/>
  <c r="C85" i="4"/>
  <c r="C89" i="4"/>
  <c r="C209" i="4"/>
  <c r="C253" i="4"/>
  <c r="C379" i="4"/>
  <c r="C371" i="4"/>
  <c r="C36" i="4"/>
  <c r="C38" i="4"/>
  <c r="C40" i="4"/>
  <c r="C42" i="4"/>
  <c r="C44" i="4"/>
  <c r="C52" i="4"/>
  <c r="C59" i="4"/>
  <c r="C69" i="4"/>
  <c r="C73" i="4"/>
  <c r="C92" i="4"/>
  <c r="C109" i="4"/>
  <c r="C121" i="4"/>
  <c r="C123" i="4"/>
  <c r="C127" i="4"/>
  <c r="C129" i="4"/>
  <c r="C131" i="4"/>
  <c r="C132" i="4"/>
  <c r="C143" i="4"/>
  <c r="C147" i="4"/>
  <c r="C149" i="4"/>
  <c r="C153" i="4"/>
  <c r="C158" i="4"/>
  <c r="C160" i="4"/>
  <c r="C167" i="4"/>
  <c r="C181" i="4"/>
  <c r="C183" i="4"/>
  <c r="C185" i="4"/>
  <c r="C117" i="4"/>
  <c r="C151" i="4"/>
  <c r="C164" i="4"/>
  <c r="C169" i="4"/>
  <c r="C171" i="4"/>
  <c r="C100" i="4"/>
  <c r="C174" i="4"/>
  <c r="G166" i="4"/>
  <c r="C166" i="4" s="1"/>
  <c r="J568" i="2" l="1"/>
  <c r="J567" i="2"/>
  <c r="J552" i="2" l="1"/>
  <c r="I551" i="2"/>
  <c r="J541" i="2"/>
  <c r="H549" i="2"/>
  <c r="H541" i="2"/>
  <c r="J540" i="2"/>
  <c r="J539" i="2"/>
  <c r="J527" i="2"/>
  <c r="J526" i="2"/>
  <c r="J444" i="2"/>
  <c r="J440" i="2"/>
  <c r="J429" i="2"/>
  <c r="J427" i="2"/>
  <c r="H566" i="2"/>
  <c r="I519" i="2"/>
  <c r="I517" i="2"/>
  <c r="I515" i="2"/>
  <c r="I506" i="2"/>
  <c r="I482" i="2"/>
  <c r="I481" i="2"/>
  <c r="I484" i="2"/>
  <c r="I420" i="2"/>
  <c r="I382" i="2"/>
  <c r="J382" i="2" s="1"/>
  <c r="J379" i="2"/>
  <c r="J378" i="2"/>
  <c r="J365" i="2"/>
  <c r="H376" i="2"/>
  <c r="H364" i="2" l="1"/>
  <c r="J363" i="2"/>
  <c r="I356" i="2"/>
  <c r="I361" i="2"/>
  <c r="I360" i="2"/>
  <c r="I355" i="2"/>
  <c r="I353" i="2"/>
  <c r="I352" i="2"/>
  <c r="I351" i="2"/>
  <c r="I319" i="2"/>
  <c r="J319" i="2" s="1"/>
  <c r="J317" i="2"/>
  <c r="J316" i="2"/>
  <c r="J315" i="2"/>
  <c r="J314" i="2"/>
  <c r="H312" i="2"/>
  <c r="I308" i="2"/>
  <c r="I306" i="2"/>
  <c r="I282" i="2"/>
  <c r="J269" i="2"/>
  <c r="J268" i="2"/>
  <c r="J267" i="2"/>
  <c r="H266" i="2"/>
  <c r="J265" i="2"/>
  <c r="J264" i="2"/>
  <c r="H263" i="2"/>
  <c r="J254" i="2"/>
  <c r="H259" i="2"/>
  <c r="H258" i="2"/>
  <c r="H257" i="2"/>
  <c r="H255" i="2"/>
  <c r="J253" i="2"/>
  <c r="J252" i="2"/>
  <c r="J250" i="2"/>
  <c r="I250" i="2"/>
  <c r="H238" i="2"/>
  <c r="I231" i="2"/>
  <c r="I230" i="2"/>
  <c r="I215" i="2"/>
  <c r="I214" i="2"/>
  <c r="I213" i="2"/>
  <c r="I212" i="2"/>
  <c r="I211" i="2"/>
  <c r="I210" i="2"/>
  <c r="I209" i="2"/>
  <c r="I208" i="2"/>
  <c r="H193" i="2" l="1"/>
  <c r="H192" i="2"/>
  <c r="J191" i="2"/>
  <c r="J190" i="2"/>
  <c r="J189" i="2"/>
  <c r="J188" i="2"/>
  <c r="J187" i="2"/>
  <c r="J184" i="2"/>
  <c r="J183" i="2"/>
  <c r="J182" i="2"/>
  <c r="H180" i="2"/>
  <c r="J179" i="2"/>
  <c r="J178" i="2"/>
  <c r="I151" i="2"/>
  <c r="I150" i="2"/>
  <c r="I149" i="2"/>
  <c r="I146" i="2"/>
  <c r="I145" i="2"/>
  <c r="I141" i="2"/>
  <c r="J116" i="2" l="1"/>
  <c r="J114" i="2"/>
  <c r="J102" i="2"/>
  <c r="J89" i="2"/>
  <c r="J100" i="2"/>
  <c r="K49" i="2"/>
  <c r="I35" i="2"/>
  <c r="K26" i="2" l="1"/>
  <c r="H26" i="2"/>
  <c r="K24" i="2"/>
  <c r="J23" i="2"/>
  <c r="H22" i="2"/>
  <c r="J22" i="2" s="1"/>
  <c r="J19" i="2"/>
  <c r="J18" i="2"/>
  <c r="J16" i="2"/>
</calcChain>
</file>

<file path=xl/sharedStrings.xml><?xml version="1.0" encoding="utf-8"?>
<sst xmlns="http://schemas.openxmlformats.org/spreadsheetml/2006/main" count="3006" uniqueCount="645">
  <si>
    <t>Mes</t>
  </si>
  <si>
    <t>Fecha</t>
  </si>
  <si>
    <t>G.O</t>
  </si>
  <si>
    <t>Proviene</t>
  </si>
  <si>
    <t>Órgano Destinatario (Ministerio)</t>
  </si>
  <si>
    <t>Ente Descentralizado</t>
  </si>
  <si>
    <t>Monto</t>
  </si>
  <si>
    <t>Consejo Federal de Gobierno</t>
  </si>
  <si>
    <t>Decreto Presidencial N°</t>
  </si>
  <si>
    <t>Ministerio del Poder Popular para las Comunas y los Movimientos Sociales.</t>
  </si>
  <si>
    <t>Pago de personal</t>
  </si>
  <si>
    <t>Monto Total</t>
  </si>
  <si>
    <t>Fondo de Compensación Interterritorial</t>
  </si>
  <si>
    <t>Servicio Fondo Nacional del Poder Popular</t>
  </si>
  <si>
    <t>Gobierno del Distrito Capital</t>
  </si>
  <si>
    <t>NP</t>
  </si>
  <si>
    <t>Corpración de Servicios del Distrito Capital</t>
  </si>
  <si>
    <t>Otros</t>
  </si>
  <si>
    <t>Territorio Insular Francisco de Miranda</t>
  </si>
  <si>
    <t>Fundación de Alimentos Insular Francisco de Miranda</t>
  </si>
  <si>
    <t>Ministerio del Poder Popular para la Comunicación e Información</t>
  </si>
  <si>
    <t>Ministerio del Poder Popular del Despacho de la Presidencia y Seguimiento de la Gestión de Gobierno</t>
  </si>
  <si>
    <t>Fundación Centro Nacional de la Historia</t>
  </si>
  <si>
    <t>Fundación Gran Misión Saber y Trabajo</t>
  </si>
  <si>
    <t>Ministerio del Poder Popular para la Defensa</t>
  </si>
  <si>
    <t>Ministerio del Poder Popular para la Educación</t>
  </si>
  <si>
    <t>Procuraduría General de la República</t>
  </si>
  <si>
    <t>Ministerio del Poder Popular para Relaciones Interiores, Justicia y paz</t>
  </si>
  <si>
    <t>Vicepresidencia de la República</t>
  </si>
  <si>
    <t>Ministerio del Poder Popular para la Salud</t>
  </si>
  <si>
    <t>Ministerio del Poder Popular para la Energía Eléctrica</t>
  </si>
  <si>
    <t>Ministerio del Poder Popular para el Servicio Penitenciario</t>
  </si>
  <si>
    <t>Ministerio del Poder Popular para la Banca y Finanzas</t>
  </si>
  <si>
    <t>Ministerio del Poder Popular para la Educación Universitaria, Ciencia y Tecnología</t>
  </si>
  <si>
    <t>Ministerio del Poder Popular de Desarrollo Minero y Ecológico</t>
  </si>
  <si>
    <t>Situado Constitucional</t>
  </si>
  <si>
    <t>Contraloría General de la República</t>
  </si>
  <si>
    <t>Consejo Nacional Electoral</t>
  </si>
  <si>
    <t>Ministerio del Poder Popular para El Proceso Social del Trabajo</t>
  </si>
  <si>
    <t>Tribunal Supremo de Justicia</t>
  </si>
  <si>
    <t>Ministerio Público</t>
  </si>
  <si>
    <t>Ministerio del Poder Popular para Relaciones Interiores, Justicia y Paz</t>
  </si>
  <si>
    <t>Defensoría del Pueblo</t>
  </si>
  <si>
    <t>Ministerio del Poder Popular Para La Comunicación y la Información</t>
  </si>
  <si>
    <t>Superintendencia Nacional de Auditoría Interna</t>
  </si>
  <si>
    <t>Ministerio del Poder Popular Para El Turismo</t>
  </si>
  <si>
    <t>Ministerio del Pode Popular para la Cultura</t>
  </si>
  <si>
    <t>Ministerio del Poder Popular para El Servicio Penitenciario</t>
  </si>
  <si>
    <t>Defensa Pública</t>
  </si>
  <si>
    <t>Planificación</t>
  </si>
  <si>
    <t>Ministerio del Poder Popular para la Planificación</t>
  </si>
  <si>
    <t>Ministerio del Poder Popular Para la Educación Universitaria, Ciencia y Tecnología</t>
  </si>
  <si>
    <t>Ministerio del Poder Popular para la Pesca y Acuicultura</t>
  </si>
  <si>
    <t>Ministerio del Poder Popular de Agricultura Urbana</t>
  </si>
  <si>
    <t>Ministerio del PP para Industrias Básicas, Estratégicas y Socialistas</t>
  </si>
  <si>
    <t>Ministerio del Poder Popular para Industrias Básicas, Estratégicas y Socialistas</t>
  </si>
  <si>
    <t>Ministero del Poder Popular para el Transporte</t>
  </si>
  <si>
    <t>Ministerio del Poder Popular para de obras Publicas</t>
  </si>
  <si>
    <t>Ministerio del Poper Popular para las Comunas y Movimientos Sociales</t>
  </si>
  <si>
    <t>Ministerio del Poder Popular para el Transporte</t>
  </si>
  <si>
    <t>Ministerio del Poder Popular de Obras Públicas</t>
  </si>
  <si>
    <t>Fundeca Yerba Caracas</t>
  </si>
  <si>
    <t>Cuerpo de Bomberos del Gobierno del Distrito Capital</t>
  </si>
  <si>
    <t>Canteras del Distrito Capital</t>
  </si>
  <si>
    <t>Corporacion de Servicios del Distrito Capital</t>
  </si>
  <si>
    <t>Servicio de Administración Tributaria del Distrito Capital</t>
  </si>
  <si>
    <t xml:space="preserve">Fundación Vivienda del Distrito Capital </t>
  </si>
  <si>
    <t>Servicio de Lotería de Caracas</t>
  </si>
  <si>
    <t>Fundación para la identidad caraqueña del Distrito Capital</t>
  </si>
  <si>
    <t>Fundación para niños, niñas y adolescentes del Distrito Capital</t>
  </si>
  <si>
    <t>Fundación Banda Marcial de Caracas</t>
  </si>
  <si>
    <t>Corporación para la Construcción y Gestión de Urbanismos en el Distrito Capital, S.A</t>
  </si>
  <si>
    <t>Fundación Fondo Nacional de Transporte Urbano</t>
  </si>
  <si>
    <t>Fundación Laboratorio Nacional de Vialidad</t>
  </si>
  <si>
    <t>Instituto de Ferrocarriles del Estado</t>
  </si>
  <si>
    <t>Fundación de Desarrollo Nacional Aeroportuario y Portuario</t>
  </si>
  <si>
    <t>Empresa Socialista Metro de Maracaibo, C.A.</t>
  </si>
  <si>
    <t>C.A Metro de Caracas</t>
  </si>
  <si>
    <t>C.A Metro de Valencia</t>
  </si>
  <si>
    <t xml:space="preserve">Sistema Integral de Transporte Superficial, S.A </t>
  </si>
  <si>
    <t>Insumos Ferroviarios, C.A</t>
  </si>
  <si>
    <t>Sistema de Transporte Masivo de Barquisimeto, C.A</t>
  </si>
  <si>
    <t>Trolebús Mérida, C.A</t>
  </si>
  <si>
    <t>C.A Metro Los Teques</t>
  </si>
  <si>
    <t>Ministerio del Poder Popular del Despacho de
la Presidencia y Seguimiento de la Gestión de Gobierno</t>
  </si>
  <si>
    <t>Fundación Musical Simón Bolívar</t>
  </si>
  <si>
    <t>Ministerio del Poder Popular para la Salud.</t>
  </si>
  <si>
    <t>Ministerio del Poder Popular
para la Comunicación e Información.</t>
  </si>
  <si>
    <t>Ministerio del Poder Popular para Relaciones Interiores, Justicia
y Paz</t>
  </si>
  <si>
    <t>La gaceta no fue publicada</t>
  </si>
  <si>
    <t>Consejo Moral Republicano</t>
  </si>
  <si>
    <t>Vicepresidencia Sectorial de Economía</t>
  </si>
  <si>
    <t>Banco Nacional de Vivienda y Hábitat</t>
  </si>
  <si>
    <t>Fundación Distribuidora Nacional de Cine, Amazonia Films</t>
  </si>
  <si>
    <t>Fundacion Villa del Cine</t>
  </si>
  <si>
    <t>Fundación para el Desarrollo Endógeno Comunal Agroalimentario Fundeca Yerba Caracas</t>
  </si>
  <si>
    <t>Instituto Nacional de Turismo</t>
  </si>
  <si>
    <t>Ministerio del Poder Popular para Relaciones Exteriores</t>
  </si>
  <si>
    <t>Ministerio del Poder Popular para la Agricultura Productiva y Tierras</t>
  </si>
  <si>
    <t>Ministerio del Poder Popular Del Despacho De la Presidencia</t>
  </si>
  <si>
    <t>Ministerio del Poder Popular Para La Alimentación</t>
  </si>
  <si>
    <t>Ministerio del Poder Popular para la Cultura</t>
  </si>
  <si>
    <t>Ministerio del Poder Popular para los Pueblos Indígenas</t>
  </si>
  <si>
    <t>Ministerio del Poder Popular Para las Comunas y Movimientos Sociales</t>
  </si>
  <si>
    <t>Ministerio del Poder Popular Para la Salud</t>
  </si>
  <si>
    <t>Ministerio del Poder Popular Para la Mujer y la Igualdad de Género</t>
  </si>
  <si>
    <t>Ministerio del Poder Popular para la Energía Electrica</t>
  </si>
  <si>
    <t>Ministerio del Poder Popular para la Ciencia y Tec</t>
  </si>
  <si>
    <t>Ministerio del Poder Popular para la Juventud y el Deporte</t>
  </si>
  <si>
    <t>Ministerio del Poder Popular para el Ecosocialismo y Aguas</t>
  </si>
  <si>
    <t>Ministerio del Poder Popular para Hábitat y Vivienda</t>
  </si>
  <si>
    <t>Ministerio del Poder Popular de Economía y Finanzas</t>
  </si>
  <si>
    <t>Servicio de Administración Tributaria Insular Miranda</t>
  </si>
  <si>
    <t>Superintencia Nacional de Valores</t>
  </si>
  <si>
    <t>Registro Nacional Unico de Operadoras de Sustancias quimicas controladas</t>
  </si>
  <si>
    <t>Superintendencia de Bienes Publicos</t>
  </si>
  <si>
    <t>Superintendencia de Seguridad Social</t>
  </si>
  <si>
    <t>Servicio Nacional Integrado de Administración Aduanera y Tributaria</t>
  </si>
  <si>
    <t>Centro Nacional de Comercio Exterior</t>
  </si>
  <si>
    <t xml:space="preserve">Sociedad de Garantias Reciprocas </t>
  </si>
  <si>
    <t xml:space="preserve">Fondo Nacional de Garantías Recíprocas para la Pequeña y Mediana Empresa, S.A </t>
  </si>
  <si>
    <t>Sociedad Nacional de Garantías Recíprocas para la Pequeña y Mediana Industria, S.A</t>
  </si>
  <si>
    <t>Farmapatria, Compañía Anónima</t>
  </si>
  <si>
    <t>Ministerio del Poder Popular para Relaciones Interiores , Justicia y Paz</t>
  </si>
  <si>
    <t>Ministerio del Poder Popular para el Comercio Exterior e Inversión Internacional</t>
  </si>
  <si>
    <t>Ministerio del Poder Popular para Energía Electrica</t>
  </si>
  <si>
    <t>Ministerio del Poder Popular para La Mujer y la Igualdad de Género</t>
  </si>
  <si>
    <t>Ministerio del Poder Popular para Las Comunas y Movimientos Sociales</t>
  </si>
  <si>
    <t>Ministerio del Poder Popular para La Salud</t>
  </si>
  <si>
    <t>Ministerio del Poder Popular para La Alimentación</t>
  </si>
  <si>
    <t>Ministerio del Poder Popular del Despacho De la Presidencia</t>
  </si>
  <si>
    <t>Ministerio del Poder Popular para La Comunicación y la Información</t>
  </si>
  <si>
    <t>Ministerio del  Poder Popular para la Defensa</t>
  </si>
  <si>
    <t>Ministerio del  Poder Popular para la Educación</t>
  </si>
  <si>
    <t>Ministerio del  Poder Popular para el Proceso Social del Trabajo</t>
  </si>
  <si>
    <t>Ministerio del  Poder Popular para Relaciones Interiores, Justicia y Paz</t>
  </si>
  <si>
    <t>Ministerio del  Poder Popular para la Agricultura Productiva y Tierras</t>
  </si>
  <si>
    <t>Ministerio del  Poder Popular para la Cultura</t>
  </si>
  <si>
    <t>Ministerio del  Poder Popular para los Pueblos Indígenas</t>
  </si>
  <si>
    <t>Ministerio del  Poder Popular para Energía Electrica</t>
  </si>
  <si>
    <t>Ministerio del  Poder Popular Para el Turismo</t>
  </si>
  <si>
    <t>Ministerio del  Poder Popular para la Alimentación</t>
  </si>
  <si>
    <t>Ministerio del  Poder Popular del Despacho De la Presidencia</t>
  </si>
  <si>
    <t>Ministerio del  Poder Popular para La Comunicación y la Información</t>
  </si>
  <si>
    <t>Ministerio del  Poder Popular para la Salud</t>
  </si>
  <si>
    <t>Ministerio del  Poder Popular para las Comunas y Movimientos Sociales</t>
  </si>
  <si>
    <t>Ministerio del  Poder Popular para la Mujer y la Igualdad de Género</t>
  </si>
  <si>
    <t>Ministerio del  Poder Popular para el Servicio Penitenciario</t>
  </si>
  <si>
    <t>Ministerio del  Poder Popular para la Educación Universitaria, Ciencia y Tecnología</t>
  </si>
  <si>
    <t>Ministerio del  Poder Popular para la Juventud y el Deporte</t>
  </si>
  <si>
    <t>Ministerio del  Poder Popular para el Ecosocialismo y Aguas</t>
  </si>
  <si>
    <t>Ministerio del  Poder Popular para Hábitat y Vivienda</t>
  </si>
  <si>
    <t>Ministerio del  Poder Popular para el Comercio Exterior e Inversión Internacional</t>
  </si>
  <si>
    <t>Ministerio del  Poder Popular para la Pesca y Acuicultura</t>
  </si>
  <si>
    <t>Ministerio del  Poder Popular de Agricultura Urbana</t>
  </si>
  <si>
    <t>Ministerio del  Poder Popular para Industrias Básicas, Estratégicas y Socialistas</t>
  </si>
  <si>
    <t>Ministerio del  Poder Popular de Desarrollo Minero y Ecológico</t>
  </si>
  <si>
    <t>Ministero del  Poder Popular para el Transporte</t>
  </si>
  <si>
    <t>Ministerio del  Poder Popular de Economía y Finanzas</t>
  </si>
  <si>
    <t>Ministerio del  Poder Popular para de Obras Publicas</t>
  </si>
  <si>
    <t>Servicio Autónomo Lotería de Caracas</t>
  </si>
  <si>
    <t>Corporacion de Servicios del Distrito Capital, S.A</t>
  </si>
  <si>
    <t>Fundación Regional El Niño Simón, Territorio Insular Francisco de Miranda</t>
  </si>
  <si>
    <t>Ministerio del Poder Popular para el Proceso Social del Trabajo</t>
  </si>
  <si>
    <t>Ministerio del Poder Popular para el Turismo</t>
  </si>
  <si>
    <t>Ministerio del Poder Popular para la Alimentación</t>
  </si>
  <si>
    <t>Ministerio del Poder Popular para las Comunas y Movimientos Sociales</t>
  </si>
  <si>
    <t>Comisión para la Verdad, la Justicia, la Paz y la Tranquilidad Pública</t>
  </si>
  <si>
    <t>Ministerio del Poder Popular para la Comunicación y la Información</t>
  </si>
  <si>
    <t>Ministerio del Poder Popular del Despacho de la Presidencia</t>
  </si>
  <si>
    <t>Ministerio del Poder Popular de obras Publicas</t>
  </si>
  <si>
    <t>Ministerio del Poder Popular para la Mujer y la Igualdad de Género</t>
  </si>
  <si>
    <t>Ministerio del Poder Popular para el Transporte Terrestre y Obras Públicas</t>
  </si>
  <si>
    <t>Ministerio del Poder Popular de Obras Publicas</t>
  </si>
  <si>
    <t>Transferencias corrientes a los Poderes Estadal y Municipal</t>
  </si>
  <si>
    <t>Fondo Nacional de Misiones</t>
  </si>
  <si>
    <t>Asamblea Nacional Constituyente</t>
  </si>
  <si>
    <t>-</t>
  </si>
  <si>
    <t>Distrito Capital</t>
  </si>
  <si>
    <t>Servicio de Loteria de Caracas</t>
  </si>
  <si>
    <t xml:space="preserve">Fundación de Atención Integral </t>
  </si>
  <si>
    <t>Fondo de Inversion Mision Negro Primero</t>
  </si>
  <si>
    <t>Academia Nacional de la Historia</t>
  </si>
  <si>
    <t>Academia Venezolana de la Lengua</t>
  </si>
  <si>
    <t>Academia Nacional de Medicina</t>
  </si>
  <si>
    <t>Fundacion Colombeia</t>
  </si>
  <si>
    <t>Convenio ME - AVEC</t>
  </si>
  <si>
    <t>Fundación Palacio de las Academias</t>
  </si>
  <si>
    <t>Tesorería de Seguridad Social</t>
  </si>
  <si>
    <t>Fondo Nacional de Bomberos</t>
  </si>
  <si>
    <t>Fondo Nacional Antidrogas</t>
  </si>
  <si>
    <t>Servicio Nacional de Contrataciones</t>
  </si>
  <si>
    <t>Fundacion Frente Bolivariano de Luchadores Sociales</t>
  </si>
  <si>
    <t>Corporación de Desarrollo Agrícola, S.A.</t>
  </si>
  <si>
    <t>Fundación El Correo del Orinoco</t>
  </si>
  <si>
    <t>Agencia Venezolana de Noticias, C.A.</t>
  </si>
  <si>
    <t>Fundación Misión Niño Jesús</t>
  </si>
  <si>
    <t>Fundación Oficina Presidencial de Planes y Proyectos Especiales</t>
  </si>
  <si>
    <t>Empresa de desarrollo Agropecuario Maisanta</t>
  </si>
  <si>
    <t>Fundación Misión Jóvenes de la Patria Robert Serra</t>
  </si>
  <si>
    <t>Corporacion Unica de Servicios Productivos y alimentarios, C.A</t>
  </si>
  <si>
    <t>Productos La Fina, C.A.</t>
  </si>
  <si>
    <t>Indugram, C.A.</t>
  </si>
  <si>
    <t>Transferencias Corrientes a entes descentralizados sin fines empresariales</t>
  </si>
  <si>
    <t>Universidad de las Ciencias de la Salud</t>
  </si>
  <si>
    <t>Entes Descentralizados sin fines empresariales</t>
  </si>
  <si>
    <t>Instituto Nacional de Hipódromos</t>
  </si>
  <si>
    <t>Instituto Nacional del Poder Popular de la Juventud</t>
  </si>
  <si>
    <t>Inmobiliaria Nacional, S.A.</t>
  </si>
  <si>
    <t>CONSTRUPATRIA</t>
  </si>
  <si>
    <t>Compleo Siderúrgico de Guayana, C.A</t>
  </si>
  <si>
    <t>Corporación Siderúrgica de Venezuela, S.A</t>
  </si>
  <si>
    <t>Empresa de Produccion Social Siderurgica nacional</t>
  </si>
  <si>
    <t>Funación Misión Piar</t>
  </si>
  <si>
    <t>INTT</t>
  </si>
  <si>
    <t>Bolsa Publica de Valores Bicentenaria</t>
  </si>
  <si>
    <t>Zona Franca Industrial, Comercial y de Servicio Paraguana</t>
  </si>
  <si>
    <t>MINISTERIOS</t>
  </si>
  <si>
    <t>ENTES</t>
  </si>
  <si>
    <t>Fundación para Niños, Niñas y Adolescentes del Distrito Capital</t>
  </si>
  <si>
    <t>Fundación para la Identidad Caraqueña del Distrito Capital</t>
  </si>
  <si>
    <t>Corporacion del Turismo Insular Miranda</t>
  </si>
  <si>
    <t>Fundación Cardiovascular de la Asamblea Nacional</t>
  </si>
  <si>
    <t>Instituto de Previsión Social del Parlamentario</t>
  </si>
  <si>
    <t>Fundación Fondo Editorial de la Asamblea Nacional William Lara</t>
  </si>
  <si>
    <t>Asamblea Nacional</t>
  </si>
  <si>
    <t xml:space="preserve">Fundación Instituto de Altos Estudios de Control Fiscal y Auditoría de Estado Gumersindo Torres </t>
  </si>
  <si>
    <t>Fundación para los servicios de Salud y Previsión Social de la Contraloría General de la República</t>
  </si>
  <si>
    <t>Insituto de Oficiales de las Fuerzas Armadas en Situación de Retiro</t>
  </si>
  <si>
    <t>Universidad Militar Bolivariana de Venezuela</t>
  </si>
  <si>
    <t>Instituto de Previsión Social de las Fuerzas Armadas Nacionales</t>
  </si>
  <si>
    <t>Instituto Autónomo Círculo de las Fuerzas Armadas</t>
  </si>
  <si>
    <t>Servicio Autónomo de Salud de la Fuerza Armada Nacional</t>
  </si>
  <si>
    <t>Total de Créditos Adicionales</t>
  </si>
  <si>
    <t>X</t>
  </si>
  <si>
    <t>Venirauto industrias C.A</t>
  </si>
  <si>
    <t>Fondo Autónomo de Inversiones y Previsión Socio-económica para el Personal de Empleados y Obreros de las Fuerzas Armadas Nacionales</t>
  </si>
  <si>
    <t>Fundación de Cardiología Integral</t>
  </si>
  <si>
    <t>Oficina Coordinadora de la Prestación de los Servicios Educativos del Ministerio de la Defensa</t>
  </si>
  <si>
    <t>Unidad Naval Coordinadora de los Servicios de Carenado, Reparaciones de Casco, Reparaciones y Mantenimiento de Equipos y Sistemas de los Buques</t>
  </si>
  <si>
    <t>Servicio Autónomo de Mantenimiento de Lanchas de la Guardia Nacional</t>
  </si>
  <si>
    <t>Servicio Desconcentrado de Bienes y Servicios de la Fuerza Armada Nacional Bolivariana</t>
  </si>
  <si>
    <t xml:space="preserve">Fundación de Atención Social del Ministerio de la Defensa </t>
  </si>
  <si>
    <t>Compañía Anónima Venezolana de Industrias Militares</t>
  </si>
  <si>
    <t>Academia Nacional de Ciencias Económicas</t>
  </si>
  <si>
    <t>Academia de Ciencias Físicas, Matemáticas y Naturales</t>
  </si>
  <si>
    <t>Academia de Ciencias PolÍticas y Sociales</t>
  </si>
  <si>
    <t>Fundación de Edificaciones y
Dotaciones Educativas</t>
  </si>
  <si>
    <t>Academia Nacional de la Ingienería y el Hábitat</t>
  </si>
  <si>
    <t>Asociación de Promoción de la Educacion Popular</t>
  </si>
  <si>
    <t>Sociedad Orquesta Sinfónica de Venezuela</t>
  </si>
  <si>
    <t>Hogares Crea de Venezuela</t>
  </si>
  <si>
    <t xml:space="preserve">Corporación Nacional de Alimentación Escolar (CNAE), S.A </t>
  </si>
  <si>
    <t>Instituto Nacional de
Capacitación y Recreación de
los Trabajadores</t>
  </si>
  <si>
    <t>Instituto Venezolano de los
Seguros Sociales</t>
  </si>
  <si>
    <t>Instituto Nacional de
Prevención, Salud y Seguridad
Laborales</t>
  </si>
  <si>
    <t>Fundación Escuela Nacional de
Fiscales del Ministerio Público</t>
  </si>
  <si>
    <t>Fundacion para la investigacion, Capacitacion y Desarrollo de la Funcion Fiscal</t>
  </si>
  <si>
    <t>Instituto Autónomo de Previsión
Social del Cuerpo de
Investigaciones Científicas,
Penales y Criminalísticas</t>
  </si>
  <si>
    <t>Comision Nacional de Casinos, Salas de Bingo y Maquinas Traganíqueles</t>
  </si>
  <si>
    <t>Servicio Nacional de Administración y Enajenación de Bienes Asegurados o Incautados, Confiscados y Decomisados</t>
  </si>
  <si>
    <t>Fundación Venezolana para la
Prevención y Tratamiento del
Consumo de Drogas</t>
  </si>
  <si>
    <t>Fundación Misión Identidad</t>
  </si>
  <si>
    <t>Instituto Nacional Contra la Discriminación Racial</t>
  </si>
  <si>
    <t>Servicio Nacional para el Desarme</t>
  </si>
  <si>
    <t>Servicio Especializado para la
Administración y Enajenación
de Bienes Asegurados o
Incautados, Decomisados y
Confiscados</t>
  </si>
  <si>
    <t>Servicio Administrativo de
Identificación, Migración y
Extranjería</t>
  </si>
  <si>
    <t>Universidad Nacional
Experimental de la Seguridad</t>
  </si>
  <si>
    <t>Fundación Fondo Administrativo
de Salud para el Ministerio del
Poder Popular para Relaciones
Interiores y Justicia, de sus
Órganos y Entes Adscritos</t>
  </si>
  <si>
    <t>Corporación de Servicios de
Vigilancia y Seguridad, S.A.</t>
  </si>
  <si>
    <t>Fundación Juan Vives Suriá</t>
  </si>
  <si>
    <t>Fundación Misión Nevado</t>
  </si>
  <si>
    <t>Fundación Misión Arbol</t>
  </si>
  <si>
    <t>Fundación Misión Milagro</t>
  </si>
  <si>
    <t>Servicio Coordinado de
Transporte Aéreo del Ejecutivo
Nacional</t>
  </si>
  <si>
    <t>Instituto Nacional de
Investigaciones Agrícolas</t>
  </si>
  <si>
    <t>Oficina Coordinadora de los
Servicios Agropecuarios del
Ministerio del Poder Popular
para la Agricultura y Tierras</t>
  </si>
  <si>
    <t>Fundacion Tierra Fértil</t>
  </si>
  <si>
    <t>Instituto Nacional de Desarrollo
Rural</t>
  </si>
  <si>
    <t>Instituto Nacional de Tierras</t>
  </si>
  <si>
    <t>Instituto Nacional de Salud
Agrícola Integral</t>
  </si>
  <si>
    <t>Fondo para el Desarrollo Agrario Socialista</t>
  </si>
  <si>
    <t>Empresa de Propiedad Social Valle Los Tacariguas, S.A</t>
  </si>
  <si>
    <t>Empresa Mixto Ruso - Venezolana Orquídea, S.A</t>
  </si>
  <si>
    <t>Empresa Integral de Porducción Agraria Socialista Valle de Quíbor, S.A.</t>
  </si>
  <si>
    <t>Café de Venezuela Tiendas y
Servicios, S.A.</t>
  </si>
  <si>
    <t xml:space="preserve">Empresa Nacional del Café, S.A.
</t>
  </si>
  <si>
    <t>Corporación Ganadera Bravos
de Apure, S.A.</t>
  </si>
  <si>
    <t>Empresa Regional Sistema
Hidráulico Planicie de Maracaibo S.A.</t>
  </si>
  <si>
    <t>Complejo Agroindustrial
Azucarero Ezequiel Zamora,
S.A.</t>
  </si>
  <si>
    <t>CVA Azúcar, S.A</t>
  </si>
  <si>
    <t>Centro Técnico Productivo
Socialista Florentino, C.A.</t>
  </si>
  <si>
    <t>CVA Compañía de Mecanizado
Agrícola y Transporte Pedro
Camejo, S.A.</t>
  </si>
  <si>
    <t>Empresa Mixta Socialista
Maderas del Alba, S.A.</t>
  </si>
  <si>
    <t>Empresa Mixta Socialista
Avícola del Alba, S.A.</t>
  </si>
  <si>
    <t>Empresa Socialista Ganadera
Santos Luzardo, C.A.</t>
  </si>
  <si>
    <t>Empresa Bolivariana de
Producción Socialista Cacao
Oderi, S.A.</t>
  </si>
  <si>
    <t>Empresa Socialista Ganadera
Agroecológica Marisela, S.A.</t>
  </si>
  <si>
    <t>Empresa Mixta Socialista
Porcinos del Alba, S.A.</t>
  </si>
  <si>
    <t>Corporación Venezolana del
Café, S.A.</t>
  </si>
  <si>
    <t>Empresa Socialista de Riego Las
Majaguas, S.A.</t>
  </si>
  <si>
    <t>Empresa de Propiedad Social
Algodones del Orinoco, C.A.</t>
  </si>
  <si>
    <t>Corporación Socialista del
Cacao Venezolano, S.A.</t>
  </si>
  <si>
    <t>Banco Agrícola de Venezuela,
C.A., Banco Universal</t>
  </si>
  <si>
    <t>Empresa Integral de Producción
Agraria Socialista José Inacio de
Abreu E Lima, S.A.</t>
  </si>
  <si>
    <t>Instituto Autónomo Comisión
Nacional de Telecomunicaciones</t>
  </si>
  <si>
    <t>Servicio Autónomo Imprenta
Nacional y Gaceta Oficial</t>
  </si>
  <si>
    <t>Fundación Poliedro de Caracas</t>
  </si>
  <si>
    <t>Fundación Villa del Cine</t>
  </si>
  <si>
    <t>Fundación Amazonia Films</t>
  </si>
  <si>
    <t>Fundación Televisora Venezolana Social</t>
  </si>
  <si>
    <t>Fundación Premio Nacional del Periodismo</t>
  </si>
  <si>
    <t>Fundación Ávila Tv</t>
  </si>
  <si>
    <t>Agencia Venezolana de
Publicidad AVP, S.A.</t>
  </si>
  <si>
    <t>Corporación Venezolana de
Telecomunicaciones, S.A.</t>
  </si>
  <si>
    <t>La Radio del Sur, C.A.</t>
  </si>
  <si>
    <t>C.A. Venezolana de Televisión</t>
  </si>
  <si>
    <t xml:space="preserve">La Nueva Televisión del Sur, C.A. </t>
  </si>
  <si>
    <t>Radio Mundial, C.A.</t>
  </si>
  <si>
    <t>Radiodifusora Los Andes, C.A.</t>
  </si>
  <si>
    <t>Radio Margarita, C.A.</t>
  </si>
  <si>
    <t>Radio Zulia, C.A.</t>
  </si>
  <si>
    <t>Radio Nacional de Venezuela, C.A.</t>
  </si>
  <si>
    <t>Complejo Editorial Batalla de
Carabobo, S.A.</t>
  </si>
  <si>
    <t>Consejo Nacional para las
Personas con Discapacidad</t>
  </si>
  <si>
    <t>Fundación "Pueblo Soberano"</t>
  </si>
  <si>
    <t>Servicio Desconcentrado de
Administración y Gestión del
Fondo de Ahorro Familiar e
Inversión Social "Hijos de
Venezuela"</t>
  </si>
  <si>
    <t>Fundación "José Félix Ribas"</t>
  </si>
  <si>
    <t>Fundación Musical Simón
Bolívar</t>
  </si>
  <si>
    <t>Fundación Pro-Patria 2000</t>
  </si>
  <si>
    <t>Fundación Misión Negra Hipólita</t>
  </si>
  <si>
    <t>Fundación Nacional El Niño
Simón</t>
  </si>
  <si>
    <t>Fundación Movimiento Nacional
de Teatro para Niñas, Niños y
Jóvenes, César Rengifo</t>
  </si>
  <si>
    <t>Instituto de Altos Estudios del
Pensamiento del Comandante
Supremo Hugo Rafael Chávez
Frias</t>
  </si>
  <si>
    <t>Fundación Misión José Gregorio
Hernández</t>
  </si>
  <si>
    <t>Cuerpo Nacional Contra la
Corrupción</t>
  </si>
  <si>
    <t>Fundación Movimiento por la
Paz y la Vida</t>
  </si>
  <si>
    <t>Fundación Misión Socialista
Nueva Frontera de Paz</t>
  </si>
  <si>
    <t>Fundación Movimiento
Bolivariano Revolucionario de la
Reserva Activa General en Jefe
Félix Antonio Velásquez</t>
  </si>
  <si>
    <t>Instituto Autónomo Consejo
Nacional de Derechos de Niños,
Niñas y Adolescentes</t>
  </si>
  <si>
    <t>Servicio Autónomo Fondo
Nacional de Protección de
Niños, Niñas y Adolescentes</t>
  </si>
  <si>
    <t>Instituto Nacional de Servicios
Sociales</t>
  </si>
  <si>
    <t>Fundación Centro Nacional de
Estudios Históricos</t>
  </si>
  <si>
    <t>Instituto Nacional de Nutrición</t>
  </si>
  <si>
    <t>Superintendencia Nacional de
Gestión Agroalimentaria</t>
  </si>
  <si>
    <t>Red de Abastos Bicentenario,
S.A.</t>
  </si>
  <si>
    <t>Lácteos Los Andes, C.A.</t>
  </si>
  <si>
    <t>Fabrica para el Procesamiento
de Sábila de Venezuela, S.A.</t>
  </si>
  <si>
    <t>Comercializadora y Distribuidora
Red Venezuela, C.A.</t>
  </si>
  <si>
    <t>Mercados de Alimentos, C.A.</t>
  </si>
  <si>
    <t>Venezolana de Alimentos La Casa, S.A.</t>
  </si>
  <si>
    <t>Logistica Casa LOGICASA, S.A.</t>
  </si>
  <si>
    <t>Empresa Mixta Socialista Arroz
del Alba, S.A.</t>
  </si>
  <si>
    <t>Empresa Mixta Socialista
Leguminosas del Alba, S.A.</t>
  </si>
  <si>
    <t>Productora y Distribuidora
Venezolana de Alimentos, S.A.</t>
  </si>
  <si>
    <t>Centro de Almacenes
Congelados, C.A.</t>
  </si>
  <si>
    <t>Fundación Mundo de los Niños</t>
  </si>
  <si>
    <t>Fundación Bosque Macuto</t>
  </si>
  <si>
    <t>Fundación la Flor de Venezuela</t>
  </si>
  <si>
    <t xml:space="preserve">Corporación para la Zona Libre para el Fomento de la Inversión Turística de la Península de Paraguaná
</t>
  </si>
  <si>
    <t>Colegio Universitario "Hotel
Escuela de los Andes
Venezolanos"</t>
  </si>
  <si>
    <t>Desarrollos Gran Caracas, C.A.</t>
  </si>
  <si>
    <t>Hotel Venetur Margarita, S.A.</t>
  </si>
  <si>
    <t>Hotel Venetur Mar Caribe, S.A.</t>
  </si>
  <si>
    <t>Hotel Venetur Mérida, S.A.</t>
  </si>
  <si>
    <t>Hotel Venetur Puerto La Cruz, C.A.</t>
  </si>
  <si>
    <t>Hotel Venetur Maracaibo, C.A</t>
  </si>
  <si>
    <t>Venezolana de Turismo,
Venetur, S.A.</t>
  </si>
  <si>
    <t>Venezolana de Teleféricos
Ventel, C.A</t>
  </si>
  <si>
    <t>Residencias Anauco Suites, C.A.</t>
  </si>
  <si>
    <t>Fundación Guardería Infantil del
Ministerio de Energía y Minas
"La Alquitrana"</t>
  </si>
  <si>
    <t>Fundación Oro Negro</t>
  </si>
  <si>
    <t>Ente Nacional del Gas</t>
  </si>
  <si>
    <t>Servicio Autónomo de Metrología de Hidrocarburos</t>
  </si>
  <si>
    <t>Monteavila Editores
Latinoamericana, C.A.</t>
  </si>
  <si>
    <t>Instituto Autónomo Hospital
Universitario de Caracas</t>
  </si>
  <si>
    <t>Instituto Nacional de Higiene
"Rafael Rangel"</t>
  </si>
  <si>
    <t>Servicio Autónomo Servicio de
Elaboraciones Farmacéuticas</t>
  </si>
  <si>
    <t>Servicio Autónomo Hospital
Universitario de Maracaibo</t>
  </si>
  <si>
    <t>Servicio Autónomo Instituto de
Biomedicina Dr. Jacinto Convit</t>
  </si>
  <si>
    <t>Fundación Hospital Cardiológico
Infantil Latinoamericano "Dr.
Gilberto Rodríguez Ochoa"</t>
  </si>
  <si>
    <t>Fundación Misión Barrio Adentro</t>
  </si>
  <si>
    <t>Fundación de Edificaciones y
Equipamiento Hospitalario</t>
  </si>
  <si>
    <t>Fundación Venezolana de
Donaciones y Trasplantes de
Órganos, Tejidos y Células</t>
  </si>
  <si>
    <t>Sociedad Civil para el Control
de Enfermedades Endémicas y
Asistencia al Indígena, Estado
Bolívar</t>
  </si>
  <si>
    <t>Servicio Autónomo Instituto de
Altos Estudios "Dr. Arnoldo
Gabaldón"</t>
  </si>
  <si>
    <t>Servicio Autónomo Centro
Amazónico de Investigación y
Control de Enfermedades
Tropicales - Simón Bolívar</t>
  </si>
  <si>
    <t>Servicio Autónomo de
Contraloría Sanitaria</t>
  </si>
  <si>
    <t>Empresa Socialista para la
Producción de Medicamentos
Biológicos, C.A.</t>
  </si>
  <si>
    <t>Productos Farmacéuticos para
el Vivir Viviendo, C.A.</t>
  </si>
  <si>
    <t>Farmapatria, Compañia
Anónima</t>
  </si>
  <si>
    <t>Laboratorios Miranda, C.A.</t>
  </si>
  <si>
    <t>Fundación "Centro de Estudios
Biológicos sobre Crecimiento y
Desarrollo de la Población
Venezolana"</t>
  </si>
  <si>
    <t>Fundación para el Desarrollo y
Promoción del Poder Comunal</t>
  </si>
  <si>
    <t>Superintendencia Nacional de
Cooperativas</t>
  </si>
  <si>
    <t>Fundación Programa de
Alimentos Estratégicos</t>
  </si>
  <si>
    <t>Fondo de Desarrollo
Microfinanciero</t>
  </si>
  <si>
    <t>Servicio Fondo Nacional del
Poder Popular</t>
  </si>
  <si>
    <t>Fundación Misión Madres del
Barrio Josefa Joaquina Sánchez</t>
  </si>
  <si>
    <t>Instituto Nacional de la Mujer</t>
  </si>
  <si>
    <t>Banco de Desarrollo de la
Mujer, C.A.</t>
  </si>
  <si>
    <t>Fundación "Instituto para el
Desarrollo Energético Luis
Zambrano"</t>
  </si>
  <si>
    <t>Fundación para el Desarrollo
del Servicio Eléctrico</t>
  </si>
  <si>
    <t>Corporación Eléctrica Nacional,
S.A.</t>
  </si>
  <si>
    <t>Corporación Industrial para la
Energía Eléctrica, S.A.</t>
  </si>
  <si>
    <t>Fondo de Compensación
Interterritorial</t>
  </si>
  <si>
    <t>Autoridad Única del Distrito
Motor de Desarrollo Ciudad
Caribia</t>
  </si>
  <si>
    <t>Instituto Autónomo Caja de
Trabajo Penitenciario</t>
  </si>
  <si>
    <t>Fondo Nacional para
Edificaciones Penitenciarias</t>
  </si>
  <si>
    <t>Corporación de Desarrollo de la
Región Central</t>
  </si>
  <si>
    <t>Corporación de Desarrollo de la
Región de los Llanos</t>
  </si>
  <si>
    <t>Corporación de Desarrollo de la
Región de los Andes</t>
  </si>
  <si>
    <t>Instituto Nacional de Estadística</t>
  </si>
  <si>
    <t>Fundación Instituto Venezolano de Planificación Aplicada</t>
  </si>
  <si>
    <t>Corporación de Desarrollo Jacinto Lara</t>
  </si>
  <si>
    <t>Corporación de Desarrollo de la Región Zuliana</t>
  </si>
  <si>
    <t>Fundación Escuela Venezolana
de Planificación</t>
  </si>
  <si>
    <t>Instituto Geográfico de Venezuela "Simón Bolívar"</t>
  </si>
  <si>
    <t>Corporación de Desarrollo de la Cuenca del Río Tuy "Francisco de Miranda", S.A.</t>
  </si>
  <si>
    <t>Corporación Especial para el Desarrollo Integral del Estado Amazonas, S.A.</t>
  </si>
  <si>
    <t>Fundación para el Servicio de
Asistencia Médica Hospitalaria
para estudiantes de Educación
Superior</t>
  </si>
  <si>
    <t>Fundación Instituto de Estudios Avanzados</t>
  </si>
  <si>
    <t>Fundación Gran Mariscal de Ayacucho</t>
  </si>
  <si>
    <t>Fundación Misión Sucre</t>
  </si>
  <si>
    <t>Instituto Postal Telegráfico de
Venezuela</t>
  </si>
  <si>
    <t>Centro Nacional de Tecnologías
de Información</t>
  </si>
  <si>
    <t>Agencia Bolivariana de Actividades Espaciales</t>
  </si>
  <si>
    <t>Industria Canaima, C.A</t>
  </si>
  <si>
    <t>Fe y Alegría - Instituto  Universitario Je´sus Obrero</t>
  </si>
  <si>
    <t>Fundación La Salle de Ciencias
Naturales</t>
  </si>
  <si>
    <t>Telecom Venezuela, C.A.</t>
  </si>
  <si>
    <t>Compañía Anónima Nacional
Teléfonos de Venezuela</t>
  </si>
  <si>
    <t>Corporación para el Desarrollo
Científico y Tecnológico, S.A.</t>
  </si>
  <si>
    <t>Telecomunicaciones Gran
Caribe, S.A.</t>
  </si>
  <si>
    <t>Instituto Nacional de Deportes</t>
  </si>
  <si>
    <t>Servicio Autónomo Superintendencia Nacional de Actividades Hípicas</t>
  </si>
  <si>
    <t>Fundación para la Atención Integral a los Atletas de Altom Rendimiento en Situación de Retiro y Ex-Atletas Jóvenes,
Adultos (as) y Adultos (as) Mayores</t>
  </si>
  <si>
    <t>Corporación Venezolana de la
Juventud Productora, S.A.</t>
  </si>
  <si>
    <t>Instituto Nacional de Parques</t>
  </si>
  <si>
    <t>Instituto para el Control y la Conservación del Lago de Maracaibo y su Cuenca Hidrográfica</t>
  </si>
  <si>
    <t>Servicio Autónomo Servicios Ambientales del Ministerio del Ambiente y de los Recursos Naturales</t>
  </si>
  <si>
    <t>Fundación Instituto Forestal Latinoamericano</t>
  </si>
  <si>
    <t>Fundación de Educación Ambiental</t>
  </si>
  <si>
    <t>Fundación Laboratorio Nacional de Hidráulica</t>
  </si>
  <si>
    <t>Fundación Nacional de Parques Zoológicos y Acuarios</t>
  </si>
  <si>
    <t>Instituto Nacional de Meteorología e Hidrología</t>
  </si>
  <si>
    <t>Empresa Nacional Forestal, S.A.</t>
  </si>
  <si>
    <t>Hidrológica de los Médanos Falconianos, C.A.</t>
  </si>
  <si>
    <t>C.A. Hidrológica de Venezuela</t>
  </si>
  <si>
    <t>C.A. Hidrológica de la Región Capital</t>
  </si>
  <si>
    <t>C.A. Hidrológica del Caribe</t>
  </si>
  <si>
    <t>C.A. Hidrológica de la Región Suroeste</t>
  </si>
  <si>
    <t>C.A. Hidrológica de los Llanos Venezolanos</t>
  </si>
  <si>
    <t>C.A. Hidrológica del Lago de Maracaibo</t>
  </si>
  <si>
    <t>C.A. Hidrologica del Centro</t>
  </si>
  <si>
    <t>Compañía Nacional de Reforestación</t>
  </si>
  <si>
    <t>Sistema Hidráulico Yacambú Quíbor, C.A.</t>
  </si>
  <si>
    <t>C.A. Hidrológica de la Cordillera Andina</t>
  </si>
  <si>
    <t>Empresa Regional Sistema Hidráulico Trujillano, S.A.</t>
  </si>
  <si>
    <t>C.A. Hidrológica Páez</t>
  </si>
  <si>
    <t>Empresa Regional Desarrollos Hidraúlicos Cojedes, C.A.</t>
  </si>
  <si>
    <t>Empresa Noroccidental de Mantenimiento y Obras Hidráulicas, C.A.</t>
  </si>
  <si>
    <t>Instituto Nacional de Tierras Urbanas</t>
  </si>
  <si>
    <t>Fundación Misión Hábitat</t>
  </si>
  <si>
    <t>Fundación Gran Misión Barrio Nuevo Barrio Tricolor</t>
  </si>
  <si>
    <t>Corporación Barrio Nuevo Barrio Tricolor, S.A.</t>
  </si>
  <si>
    <t>Centro Rafael Urdaneta, S.A.</t>
  </si>
  <si>
    <t>Promotora del Desarrollo Urbano de la Región Zuliana, C.A.</t>
  </si>
  <si>
    <t>Fábrica de Insumos 27 de Febrero, S.A.</t>
  </si>
  <si>
    <t>Instituto Socialista de la Pesca y Acuicultura</t>
  </si>
  <si>
    <t>Empresa Mixta Socialista Pesquera Industrial del Alba, S.A.</t>
  </si>
  <si>
    <t>Fundación de Capacitación e Innovación para Apoyar la Revolución Agraria</t>
  </si>
  <si>
    <t>Corporación Venezolana para la Agricultura Urbana y Periurbana, S.A.</t>
  </si>
  <si>
    <t>Corporación Venezolana de Guayana</t>
  </si>
  <si>
    <t>Refractarios Socialistas de Venezuela, C.A.</t>
  </si>
  <si>
    <t>Corporación Venezolana del Plástico, S.A.</t>
  </si>
  <si>
    <t>Empresa de Propiedad Social Carpintería Cacique Tiuna, S.A.</t>
  </si>
  <si>
    <t>MAZ VEN, C.A</t>
  </si>
  <si>
    <t>Complejo Siderúrgico Nacional, S.A.</t>
  </si>
  <si>
    <t>Empresa de Propiedad Social Maderas del Orinoco, C.A.</t>
  </si>
  <si>
    <t>Conglomerado Productivo, S.A.</t>
  </si>
  <si>
    <t>C.V.G. BAUXILUM, C.A.</t>
  </si>
  <si>
    <t>CVG Conductores de Aluminio del Caroní, C.A.</t>
  </si>
  <si>
    <t>C.V.G. Aluminios del Caroni, S.A.</t>
  </si>
  <si>
    <t>C.V.G. Ferrominera Orinoco, C.A.</t>
  </si>
  <si>
    <t>C.V.G. Promociones Ferroca, S.A.</t>
  </si>
  <si>
    <t>C.V.G. Carbones del Orinoco, C.A.</t>
  </si>
  <si>
    <t>C.V.G. Industria Venezolana de Aluminio, C.A.</t>
  </si>
  <si>
    <t>C.V.G. Compañía Nacional de Cal, C.A.</t>
  </si>
  <si>
    <t>Industria Venezolana Endógena de Válvulas, Sociedad Anónima</t>
  </si>
  <si>
    <t xml:space="preserve">Empresa de Producción Social Recuperadora de Materias Primas, C.A.
</t>
  </si>
  <si>
    <t>Corporación de Industrias Intermedias de Venezuela, S.A.</t>
  </si>
  <si>
    <t>Canteras Cura, C.A.</t>
  </si>
  <si>
    <t>Siderúrgica del Orinoco (SIDOR), C.A.</t>
  </si>
  <si>
    <t>Centro de Producción de Rines de Aluminio, Rialca C.A.</t>
  </si>
  <si>
    <t>Venezolana de Industria Tecnológica, C.A.</t>
  </si>
  <si>
    <t>Empresa de Producción Social de Pulpa y Papel, C.A.</t>
  </si>
  <si>
    <t>Empresa de Producción Social de Tubos sin Costura, C.A."</t>
  </si>
  <si>
    <t>Empresa de Producción Social de Servicios de Laminación del Aluminio, C.A."</t>
  </si>
  <si>
    <t>Instituto Nacional de Geología y Minería</t>
  </si>
  <si>
    <t>Corporación Venezolana de Minería, S.A.</t>
  </si>
  <si>
    <t>Instituto Aeropuerto Internacional de Maiquetía</t>
  </si>
  <si>
    <t>C.A. Metro de Caracas</t>
  </si>
  <si>
    <t>C.A. Metro de Valencia</t>
  </si>
  <si>
    <t>Sistema Integral de Transporte Superficial, S.A.</t>
  </si>
  <si>
    <t>Insumos Ferroviarios, C.A.</t>
  </si>
  <si>
    <t>C.A. Metro los Teques</t>
  </si>
  <si>
    <t>Sistema de Transporte Masivo de Barquisimeto, C.A.</t>
  </si>
  <si>
    <t>Bolivariana de Aeropuertos, S.A.</t>
  </si>
  <si>
    <t>Trolebús Mérida, C.A.</t>
  </si>
  <si>
    <t>Empresa Nacional de Mantenimiento Vial S.A.</t>
  </si>
  <si>
    <t>Aeropostal Alas de Venezuela, C.A.</t>
  </si>
  <si>
    <t>Vialidad y Construcciones Sucre, S.A.</t>
  </si>
  <si>
    <t>Corporación Venezolana de Comercio Exterior, S.A.</t>
  </si>
  <si>
    <t>Superintendencia de las Instituciones del Sector Bancario</t>
  </si>
  <si>
    <t>Servicio Autónomo de Prestaciones Sociales de los Organismos de la Administración Central</t>
  </si>
  <si>
    <t>Servicio Autónomo Nacional de Normalización, Calidad, Metrología y Reglamentos Técnicos</t>
  </si>
  <si>
    <t>Registro Nacional Único de Operadores de Sustancias Químicas Controladas</t>
  </si>
  <si>
    <t>Superintendencia de Bienes Públicos</t>
  </si>
  <si>
    <t>Instituto Nacional de Desarrollo para la Pequeña y Mediana Industria</t>
  </si>
  <si>
    <t>Sociedad Nacional de Garantías Reciprocas para la Mediana y Pequeña Industria, S.A.</t>
  </si>
  <si>
    <t>Fondo Nacional de Garantías Reciprocas para la Pequeña y Mediana Empresa, S.A.</t>
  </si>
  <si>
    <t>Fondo Venezolano de Reconversión Industrial y Tecnológica</t>
  </si>
  <si>
    <t>Banco Bicentenario del Pueblo, de la Clase Obrera, Mujer y Comunas, Banco Universal, C.A.</t>
  </si>
  <si>
    <t>v</t>
  </si>
  <si>
    <t>Química, Biotecnología al Servicio Social, C.A</t>
  </si>
  <si>
    <t>Corporación Nacional de Insumos para la Salud, S.A.</t>
  </si>
  <si>
    <t xml:space="preserve">Red de Transmisiones de Venezuela, C.A. </t>
  </si>
  <si>
    <t>Instituto de Previsión y Asistencia Social para el Personal del Ministerio de
Educación</t>
  </si>
  <si>
    <t>Servicio Nacional Autónomo de Atención Integral a la Infancia y a la Familia</t>
  </si>
  <si>
    <t>Fundación Centro Nacional para el Mejoramiento de la Enseñanza de la Ciencia</t>
  </si>
  <si>
    <t>Fundación Medios Audiovisuales al Servicio de la Educación</t>
  </si>
  <si>
    <t>Fundación Bolivariana de Informática y Telemática</t>
  </si>
  <si>
    <t>Asociación Civil del Ministerio de Educación, Cultura y Deportes</t>
  </si>
  <si>
    <t>Educativo y Cultural de Barlovento Fundación "Víctor Sosa", Municipio Guaicaipuro del Estado Miranda</t>
  </si>
  <si>
    <t>Fundación Escuela Metropolitana de Formación Ciudadana "Simón Rodríguez"</t>
  </si>
  <si>
    <t>Instituto Nacional de Capacitación y Educación Socialista</t>
  </si>
  <si>
    <t>Situado</t>
  </si>
  <si>
    <t>CA</t>
  </si>
  <si>
    <t>FCI</t>
  </si>
  <si>
    <t>Situado Estadal</t>
  </si>
  <si>
    <t>Situado Municipal</t>
  </si>
  <si>
    <t>Total</t>
  </si>
  <si>
    <t>Estados</t>
  </si>
  <si>
    <t>Amazonas</t>
  </si>
  <si>
    <t>Anzoategui</t>
  </si>
  <si>
    <t>Apure</t>
  </si>
  <si>
    <t>Aragua</t>
  </si>
  <si>
    <t>Barinas</t>
  </si>
  <si>
    <t>Bolivar</t>
  </si>
  <si>
    <t>Carabobo</t>
  </si>
  <si>
    <t>Cojedes</t>
  </si>
  <si>
    <t>Delta</t>
  </si>
  <si>
    <t>Falcon</t>
  </si>
  <si>
    <t>Guarico</t>
  </si>
  <si>
    <t>Lara</t>
  </si>
  <si>
    <t>Merida</t>
  </si>
  <si>
    <t>Miranda</t>
  </si>
  <si>
    <t>Monagas</t>
  </si>
  <si>
    <t>Nva Esparta</t>
  </si>
  <si>
    <t>Portuguesa</t>
  </si>
  <si>
    <t>Sucre</t>
  </si>
  <si>
    <t>Tachira</t>
  </si>
  <si>
    <t>Trujillo</t>
  </si>
  <si>
    <t>Yaracuy</t>
  </si>
  <si>
    <t>Zulia</t>
  </si>
  <si>
    <t>Vargas</t>
  </si>
  <si>
    <t>AMC</t>
  </si>
  <si>
    <t xml:space="preserve">Sociedad de Garantias Recíprocas </t>
  </si>
  <si>
    <t>Servicio Autónomo Oficinas Técnicas del Consejo Nacional de Universidades</t>
  </si>
  <si>
    <t>Observatorio Nacional de Ciencia, Tecnología e Innovación</t>
  </si>
  <si>
    <t>Instituto Venezolano de Investigaciones Científicas</t>
  </si>
  <si>
    <t>Academia de Ciencias Agrícolas de Venezuela</t>
  </si>
  <si>
    <t>Fundación Centro Nacional de Investigación y Certificación en Vivienda, Hábitat y Desarrollo Urbano</t>
  </si>
  <si>
    <t>Fundación Centro de Investigaciones del Estado para la Producción Experimental
Agroindustrial</t>
  </si>
  <si>
    <t>Rectificación</t>
  </si>
  <si>
    <r>
      <rPr>
        <b/>
        <u/>
        <sz val="9"/>
        <color theme="1"/>
        <rFont val="Calibri"/>
        <family val="2"/>
        <scheme val="minor"/>
      </rPr>
      <t xml:space="preserve">Notas: 
</t>
    </r>
    <r>
      <rPr>
        <sz val="9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NP:</t>
    </r>
    <r>
      <rPr>
        <sz val="9"/>
        <color theme="1"/>
        <rFont val="Calibri"/>
        <family val="2"/>
        <scheme val="minor"/>
      </rPr>
      <t xml:space="preserve"> No se publicó información
-  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Los montos de las</t>
    </r>
    <r>
      <rPr>
        <b/>
        <sz val="9"/>
        <color theme="1"/>
        <rFont val="Calibri"/>
        <family val="2"/>
        <scheme val="minor"/>
      </rPr>
      <t xml:space="preserve"> Gacetas Oficiales Nros. 6.294, 6.299, 6.305, 6.315, 6.328, 6.331, 6.336, 6.340 y 6.349 q</t>
    </r>
    <r>
      <rPr>
        <sz val="9"/>
        <color theme="1"/>
        <rFont val="Calibri"/>
        <family val="2"/>
        <scheme val="minor"/>
      </rPr>
      <t>ue se aprecian en esta hoja, son los destinados a los Órganos y/o Ministerios. La desagregación de los recursos públicos asignados por medio de dichas gacetas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 puede visualizarse en la hoja de cálculo  con el título </t>
    </r>
    <r>
      <rPr>
        <b/>
        <sz val="9"/>
        <color theme="1"/>
        <rFont val="Calibri"/>
        <family val="2"/>
        <scheme val="minor"/>
      </rPr>
      <t>Desagregado</t>
    </r>
    <r>
      <rPr>
        <sz val="9"/>
        <color theme="1"/>
        <rFont val="Calibri"/>
        <family val="2"/>
        <scheme val="minor"/>
      </rPr>
      <t xml:space="preserve">, en el mismo archivo. 
- Las desagregación de los recursos públicos destinados a Situado Constitucional se pueden leer en la hoja de cálculo con el nombre </t>
    </r>
    <r>
      <rPr>
        <b/>
        <sz val="9"/>
        <color theme="1"/>
        <rFont val="Calibri"/>
        <family val="2"/>
        <scheme val="minor"/>
      </rPr>
      <t>Situado Constitucional</t>
    </r>
    <r>
      <rPr>
        <sz val="9"/>
        <color theme="1"/>
        <rFont val="Calibri"/>
        <family val="2"/>
        <scheme val="minor"/>
      </rPr>
      <t xml:space="preserve">, en el mismo archivo.
- Las Empresas Propiedad del Estado se resaltan en letra </t>
    </r>
    <r>
      <rPr>
        <b/>
        <sz val="9"/>
        <color theme="1"/>
        <rFont val="Calibri"/>
        <family val="2"/>
        <scheme val="minor"/>
      </rPr>
      <t>Negrita</t>
    </r>
    <r>
      <rPr>
        <sz val="9"/>
        <color theme="1"/>
        <rFont val="Calibri"/>
        <family val="2"/>
        <scheme val="minor"/>
      </rPr>
      <t xml:space="preserve">.
- Las Programas de Misiones se resaltan con color del Tema </t>
    </r>
    <r>
      <rPr>
        <b/>
        <sz val="9"/>
        <color theme="1"/>
        <rFont val="Calibri"/>
        <family val="2"/>
        <scheme val="minor"/>
      </rPr>
      <t>Amarillo</t>
    </r>
  </si>
  <si>
    <r>
      <rPr>
        <b/>
        <u/>
        <sz val="10"/>
        <color theme="1"/>
        <rFont val="Calibri"/>
        <family val="2"/>
        <scheme val="minor"/>
      </rPr>
      <t xml:space="preserve">Notas: 
</t>
    </r>
    <r>
      <rPr>
        <sz val="10"/>
        <color theme="1"/>
        <rFont val="Calibri"/>
        <family val="2"/>
        <scheme val="minor"/>
      </rPr>
      <t xml:space="preserve"> - NP: No se publicó información
- 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Los montos de las</t>
    </r>
    <r>
      <rPr>
        <b/>
        <sz val="10"/>
        <color theme="1"/>
        <rFont val="Calibri"/>
        <family val="2"/>
        <scheme val="minor"/>
      </rPr>
      <t xml:space="preserve"> Gacetas Oficiales Nros. 6.294, 6.299, 6.305, 6.315, 6.328, 6.331, 6.336, 6.340 y 6.349 q</t>
    </r>
    <r>
      <rPr>
        <sz val="10"/>
        <color theme="1"/>
        <rFont val="Calibri"/>
        <family val="2"/>
        <scheme val="minor"/>
      </rPr>
      <t>ue se aprecian en esta hoja, son los destinados a los Órganos y/o Ministerios. La desagregación de los recursos públicos asignados por medio de dichas gacetas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puede visualizarse en la hoja de cálculo  con el título </t>
    </r>
    <r>
      <rPr>
        <b/>
        <sz val="10"/>
        <color theme="1"/>
        <rFont val="Calibri"/>
        <family val="2"/>
        <scheme val="minor"/>
      </rPr>
      <t>Desagregado</t>
    </r>
    <r>
      <rPr>
        <sz val="10"/>
        <color theme="1"/>
        <rFont val="Calibri"/>
        <family val="2"/>
        <scheme val="minor"/>
      </rPr>
      <t xml:space="preserve">, en el mismo archivo. 
- Las desagregación de los recursos públicos destinados a Situado Constitucional se pueden leer en la hoja de cálculo con el nombre Situado Constitucional, en el mismo archivo.
- Las Empresas Propiedad del Estado se resaltan en letra </t>
    </r>
    <r>
      <rPr>
        <b/>
        <sz val="10"/>
        <color theme="1"/>
        <rFont val="Calibri"/>
        <family val="2"/>
        <scheme val="minor"/>
      </rPr>
      <t>Negrita</t>
    </r>
    <r>
      <rPr>
        <sz val="10"/>
        <color theme="1"/>
        <rFont val="Calibri"/>
        <family val="2"/>
        <scheme val="minor"/>
      </rPr>
      <t xml:space="preserve">.
- Las Programas de Misiones se resaltan con color del Tema </t>
    </r>
    <r>
      <rPr>
        <b/>
        <sz val="10"/>
        <color theme="1"/>
        <rFont val="Calibri"/>
        <family val="2"/>
        <scheme val="minor"/>
      </rPr>
      <t>Amarillo</t>
    </r>
  </si>
  <si>
    <t>Ministerio del Poder Popular par la Agricultura Productiva y Tierras</t>
  </si>
  <si>
    <t>Ministerio del Poder Popular para elTurismo</t>
  </si>
  <si>
    <t>Ministerio del Poder Popular de Petróleo y Minería</t>
  </si>
  <si>
    <t>Ministerio del Poder Popular para las Comunas y los Movimientos Sociales</t>
  </si>
  <si>
    <t>Ministerio del Poder Popular para la Mujer y la Igualdad de Genero</t>
  </si>
  <si>
    <t>Ministerio del Poder Popular para la Juventud y Deportes</t>
  </si>
  <si>
    <t>Ministerio del Poder Popular para Ecosocialismo y Aguas</t>
  </si>
  <si>
    <t>Ministerio de Pesca y Acuicultura</t>
  </si>
  <si>
    <t>Ministerio del Poder Popular para Industria Básica, Estratégicas y Socialista</t>
  </si>
  <si>
    <t>Ministerio del Poder Popular de Desarrollo Minero Ecológico</t>
  </si>
  <si>
    <t xml:space="preserve">Ministerio del Poder Popular para Transporte </t>
  </si>
  <si>
    <t>Gran Misión a Toda Vida Venezuela</t>
  </si>
  <si>
    <t>Fundación Samuel Robinson</t>
  </si>
  <si>
    <t>Ministerio del Poder Popula para la Defensa</t>
  </si>
  <si>
    <t>Ministerio del Poder Popula para la Educación</t>
  </si>
  <si>
    <t>Ministerio del Poder Popula para El Proceso Social del Trabajo</t>
  </si>
  <si>
    <t>Ministerio del Poder Popula para Relaciones Interiores, Justicia y Paz</t>
  </si>
  <si>
    <t>Ministerio del Poder Popula para la Agricultura Productiva y Tierras</t>
  </si>
  <si>
    <t>Ministerio del Poder Popula del Despacho De la Presidencia</t>
  </si>
  <si>
    <t>Ministerio del Poder Popula para la Comunicación y la Información</t>
  </si>
  <si>
    <t>Ministerio del Poder Popula para la Alimentación</t>
  </si>
  <si>
    <t>Ministerio del Poder Popula para el Turismo</t>
  </si>
  <si>
    <t>Ministerio del Poder Popula de Petróleo y Minería</t>
  </si>
  <si>
    <t>Ministerio del Poder Popula para la Cultura</t>
  </si>
  <si>
    <t>Ministerio del Poder Popula Para la Educación Universitaria, Ciencia y Tecnología</t>
  </si>
  <si>
    <t>Ministerio del Poder Popula Para la Juventud y el Deporte</t>
  </si>
  <si>
    <t>Ministerio del Poder Populapara el Servicio Penitenciario</t>
  </si>
  <si>
    <t>Ministerio del Poder Popula para Energía Electrica</t>
  </si>
  <si>
    <t>Ministerio del Poder Popula para Las Comunas y Movimientos Sociales</t>
  </si>
  <si>
    <t>Ministerio del Poder Popula para La Mujer y la Igualdad de Género</t>
  </si>
  <si>
    <t>Ministerio del Poder Popula para La Salud</t>
  </si>
  <si>
    <t>Ministerio del Poder Popula para el Ecosocialismo y Aguas</t>
  </si>
  <si>
    <t>Ministerio del Poder Popula para Hábitat y Vivienda</t>
  </si>
  <si>
    <t>Ministerio del Poder Popula para el Comercio Exterior e Inversión Internacional</t>
  </si>
  <si>
    <t>Ministerio del Poder Popula para la Pesca y Acuicultura</t>
  </si>
  <si>
    <t>Ministerio del Poder Popula de Agricultura Urbana</t>
  </si>
  <si>
    <t>Ministerio del Poder Popula para Industrias Básicas, Estratégicas y Socialistas</t>
  </si>
  <si>
    <t>Ministerio del Poder Popula de Desarrollo Minero y Ecológico</t>
  </si>
  <si>
    <t>Ministero del Poder Popula para el Transporte</t>
  </si>
  <si>
    <t>Ministerio del Poder Popula de obras Publicas</t>
  </si>
  <si>
    <t>Ministerio del Poder Popula de Economía y Finanzas</t>
  </si>
  <si>
    <t>Ministerio del  Poder Popular de Petróleo y Minería</t>
  </si>
  <si>
    <t>CÓDIGO</t>
  </si>
  <si>
    <t>ORGANISMO</t>
  </si>
  <si>
    <t>TOTAL PRESUPUESTO 2017</t>
  </si>
  <si>
    <t>PRESUPUESTO INICIAL 2017</t>
  </si>
  <si>
    <t>41204 (6318)</t>
  </si>
  <si>
    <t>Vicepresidencia Sectorial de Planificación</t>
  </si>
  <si>
    <t>Vicepresidencia Sectorial para el Desarrollo Social y la Revolución de las Misiones</t>
  </si>
  <si>
    <t>Vicepresidencia Sectorial de Soberanía Política, Seguridad y Paz</t>
  </si>
  <si>
    <t>Vicepresidencia Sectorial de Desarrollo del Socialismo Territorial</t>
  </si>
  <si>
    <t>Vicepresidencia Sectorial de Obras Públicas y Servicios</t>
  </si>
  <si>
    <t>Gobierno Distrito Capital</t>
  </si>
  <si>
    <t>Rectificaciones</t>
  </si>
  <si>
    <t>TOTAL</t>
  </si>
  <si>
    <t>Ministerio del Poder Popular para La Agricultura y Tierras</t>
  </si>
  <si>
    <t>Ministerio del Poder Popular para la Agricultura y Tierras</t>
  </si>
  <si>
    <t>Poder Popular</t>
  </si>
  <si>
    <t>Ministerio del Poder Popular de Economía, Finanzas y Banca Pública</t>
  </si>
  <si>
    <t>Ministerio del Poder Popular para la Ciencia y Tecnología</t>
  </si>
  <si>
    <t>Ministerio del Poder Popular para la Industria y Comercio</t>
  </si>
  <si>
    <t>Ministerio del Poder Popular Para el Transporte Terrestre y Obras Públicas</t>
  </si>
  <si>
    <t>Ministerio del Poder Popular para el Transporte Acuático y Aéreo</t>
  </si>
  <si>
    <t>Ministerio del Poder Popular para el Ecosocialismo, Hábitat y Vivienda</t>
  </si>
  <si>
    <t>MONTO TOTAL CRÉDITOS ADICIONALES</t>
  </si>
  <si>
    <t>Ministerio del Poder Popular Para Energía Electrica</t>
  </si>
  <si>
    <t>Créditos Adicionales otorgados durante el año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</si>
</sst>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&quot;Bs. F.&quot;\ #,##0.00"/>
    <numFmt numFmtId="167" formatCode="_ * #,##0.0000_ ;_ * \-#,##0.0000_ ;_ * &quot;-&quot;??_ ;_ @_ "/>
    <numFmt numFmtId="168" formatCode="_ * #,##0.0000_ ;_ * \-#,##0.0000_ ;_ * &quot;-&quot;??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165" fontId="2" fillId="3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5" fontId="2" fillId="3" borderId="1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5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Fill="1" applyBorder="1" applyAlignment="1">
      <alignment horizontal="left" vertical="center"/>
    </xf>
    <xf numFmtId="165" fontId="0" fillId="0" borderId="1" xfId="0" applyNumberFormat="1" applyBorder="1" applyAlignment="1"/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66" fontId="9" fillId="6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/>
    <xf numFmtId="0" fontId="10" fillId="7" borderId="1" xfId="0" applyFont="1" applyFill="1" applyBorder="1"/>
    <xf numFmtId="3" fontId="0" fillId="7" borderId="1" xfId="0" applyNumberFormat="1" applyFont="1" applyFill="1" applyBorder="1" applyAlignment="1"/>
    <xf numFmtId="165" fontId="0" fillId="0" borderId="1" xfId="1" applyNumberFormat="1" applyFont="1" applyBorder="1" applyAlignment="1"/>
    <xf numFmtId="165" fontId="0" fillId="0" borderId="1" xfId="0" applyNumberFormat="1" applyFont="1" applyBorder="1" applyAlignment="1"/>
    <xf numFmtId="3" fontId="0" fillId="0" borderId="1" xfId="0" applyNumberFormat="1" applyFont="1" applyBorder="1" applyAlignment="1"/>
    <xf numFmtId="0" fontId="0" fillId="0" borderId="1" xfId="0" applyFont="1" applyBorder="1" applyAlignment="1"/>
    <xf numFmtId="166" fontId="0" fillId="0" borderId="1" xfId="0" applyNumberFormat="1" applyFont="1" applyBorder="1" applyAlignment="1"/>
    <xf numFmtId="166" fontId="11" fillId="4" borderId="1" xfId="0" applyNumberFormat="1" applyFont="1" applyFill="1" applyBorder="1"/>
    <xf numFmtId="0" fontId="10" fillId="0" borderId="1" xfId="0" applyFont="1" applyBorder="1" applyAlignment="1">
      <alignment horizontal="center"/>
    </xf>
    <xf numFmtId="0" fontId="12" fillId="7" borderId="1" xfId="0" applyFont="1" applyFill="1" applyBorder="1"/>
    <xf numFmtId="165" fontId="0" fillId="7" borderId="1" xfId="1" applyNumberFormat="1" applyFont="1" applyFill="1" applyBorder="1" applyAlignment="1"/>
    <xf numFmtId="0" fontId="4" fillId="0" borderId="2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0" xfId="0" applyNumberFormat="1" applyFont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wrapText="1"/>
    </xf>
    <xf numFmtId="0" fontId="5" fillId="0" borderId="0" xfId="0" applyFont="1" applyAlignment="1"/>
    <xf numFmtId="0" fontId="19" fillId="4" borderId="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165" fontId="19" fillId="5" borderId="1" xfId="1" applyNumberFormat="1" applyFont="1" applyFill="1" applyBorder="1" applyAlignment="1">
      <alignment horizontal="center" vertical="center"/>
    </xf>
    <xf numFmtId="3" fontId="19" fillId="5" borderId="1" xfId="1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3" fontId="5" fillId="9" borderId="1" xfId="0" applyNumberFormat="1" applyFont="1" applyFill="1" applyBorder="1"/>
    <xf numFmtId="165" fontId="5" fillId="9" borderId="1" xfId="1" applyNumberFormat="1" applyFont="1" applyFill="1" applyBorder="1" applyAlignment="1"/>
    <xf numFmtId="165" fontId="5" fillId="0" borderId="1" xfId="1" applyNumberFormat="1" applyFont="1" applyBorder="1" applyAlignment="1"/>
    <xf numFmtId="3" fontId="5" fillId="0" borderId="1" xfId="0" applyNumberFormat="1" applyFont="1" applyBorder="1" applyAlignment="1"/>
    <xf numFmtId="165" fontId="5" fillId="0" borderId="1" xfId="0" applyNumberFormat="1" applyFont="1" applyBorder="1" applyAlignment="1"/>
    <xf numFmtId="165" fontId="5" fillId="0" borderId="0" xfId="0" applyNumberFormat="1" applyFont="1" applyAlignment="1"/>
    <xf numFmtId="0" fontId="5" fillId="0" borderId="1" xfId="0" applyFont="1" applyBorder="1" applyAlignment="1"/>
    <xf numFmtId="165" fontId="5" fillId="0" borderId="1" xfId="1" applyNumberFormat="1" applyFont="1" applyFill="1" applyBorder="1" applyAlignment="1"/>
    <xf numFmtId="165" fontId="20" fillId="0" borderId="1" xfId="1" applyNumberFormat="1" applyFont="1" applyBorder="1"/>
    <xf numFmtId="165" fontId="6" fillId="0" borderId="1" xfId="1" applyNumberFormat="1" applyFont="1" applyBorder="1" applyAlignment="1"/>
    <xf numFmtId="165" fontId="21" fillId="0" borderId="1" xfId="1" applyNumberFormat="1" applyFont="1" applyFill="1" applyBorder="1" applyAlignment="1"/>
    <xf numFmtId="3" fontId="5" fillId="0" borderId="1" xfId="1" applyNumberFormat="1" applyFont="1" applyBorder="1" applyAlignment="1"/>
    <xf numFmtId="0" fontId="5" fillId="9" borderId="0" xfId="0" applyFont="1" applyFill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3" fontId="19" fillId="4" borderId="1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3" fontId="5" fillId="0" borderId="0" xfId="0" applyNumberFormat="1" applyFont="1"/>
    <xf numFmtId="165" fontId="5" fillId="0" borderId="0" xfId="1" applyNumberFormat="1" applyFont="1" applyAlignment="1"/>
    <xf numFmtId="3" fontId="5" fillId="0" borderId="0" xfId="0" applyNumberFormat="1" applyFont="1" applyAlignment="1"/>
    <xf numFmtId="167" fontId="5" fillId="0" borderId="0" xfId="0" applyNumberFormat="1" applyFont="1" applyAlignment="1"/>
    <xf numFmtId="0" fontId="20" fillId="0" borderId="0" xfId="0" applyFont="1" applyAlignment="1">
      <alignment horizontal="center"/>
    </xf>
    <xf numFmtId="3" fontId="20" fillId="0" borderId="0" xfId="0" applyNumberFormat="1" applyFont="1"/>
    <xf numFmtId="0" fontId="5" fillId="0" borderId="0" xfId="0" applyFont="1"/>
    <xf numFmtId="168" fontId="5" fillId="0" borderId="0" xfId="0" applyNumberFormat="1" applyFont="1" applyAlignment="1"/>
    <xf numFmtId="0" fontId="6" fillId="0" borderId="0" xfId="0" applyFont="1"/>
    <xf numFmtId="0" fontId="5" fillId="9" borderId="1" xfId="0" applyFont="1" applyFill="1" applyBorder="1" applyAlignment="1">
      <alignment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UNI~1/AppData/Local/Temp/Clasificaci&#243;n-Cr&#233;ditos-Adicionales-2015-LA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zas-pc\intranet\Finanzas\Informes%202018\Seguimiento%20Cr&#233;ditos%20Adicionales%202017%20Comunic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s"/>
      <sheetName val="Dtto Capital-TIFM"/>
      <sheetName val="Rectificaciones"/>
      <sheetName val="Listas"/>
      <sheetName val="Hoja1"/>
      <sheetName val="Hoja2"/>
    </sheetNames>
    <sheetDataSet>
      <sheetData sheetId="0"/>
      <sheetData sheetId="1"/>
      <sheetData sheetId="2"/>
      <sheetData sheetId="3">
        <row r="2">
          <cell r="D2" t="str">
            <v>A0002 Instituto Autónomo Biblioteca Nacional y de Servicios de Bibliotecas</v>
          </cell>
          <cell r="J2" t="str">
            <v>4.01.00.00.00 GASTOS DE PERSONAL</v>
          </cell>
        </row>
        <row r="3">
          <cell r="D3" t="str">
            <v>A0003 Instituto Autónomo Caja de Trabajo Penitenciario</v>
          </cell>
          <cell r="J3" t="str">
            <v>4.01.01.00.00 Sueldos, salarios y otras retribuciones</v>
          </cell>
        </row>
        <row r="4">
          <cell r="D4" t="str">
            <v>A0005 Instituto Autónomo Círculo de las Fuerzas Armadas (IACFA)</v>
          </cell>
          <cell r="J4" t="str">
            <v>4.01.01.01.00 Sueldos básicos personal fijo a tiempo completo</v>
          </cell>
        </row>
        <row r="5">
          <cell r="D5" t="str">
            <v xml:space="preserve">A0006 Colegio Universitario Francisco de Miranda </v>
          </cell>
          <cell r="J5" t="str">
            <v>4.01.01.02.00 Sueldos básicos personal fijo a tiempo parcial</v>
          </cell>
        </row>
        <row r="6">
          <cell r="D6" t="str">
            <v>A0007 Colegio Universitario de Caracas</v>
          </cell>
          <cell r="J6" t="str">
            <v>4.01.01.03.00 Suplencias a empleados</v>
          </cell>
        </row>
        <row r="7">
          <cell r="D7" t="str">
            <v>A0008 Colegio Universitario "Profesor José Lorenzo Pérez Rodríguez"</v>
          </cell>
          <cell r="J7" t="str">
            <v>4.01.01.08.00 Sueldo al personal en trámite de nombramiento</v>
          </cell>
        </row>
        <row r="8">
          <cell r="D8" t="str">
            <v>A0010 Instituto Nacional Autónomo Comisión Nacional de Comunicaciones (CONATEL)</v>
          </cell>
          <cell r="J8" t="str">
            <v>4.01.01.09.00 Remuneraciones al personal en período de disponibilidad</v>
          </cell>
        </row>
        <row r="9">
          <cell r="D9" t="str">
            <v>A0011 Servicio Autónomo Oficinas Técnicas del Consejo Nacional de Universidades (CNU)</v>
          </cell>
          <cell r="J9" t="str">
            <v>4.01.01.10.00 Salarios a obreros en puestos permanentes a tiempo completo</v>
          </cell>
        </row>
        <row r="10">
          <cell r="D10" t="str">
            <v>A0015 Corporación de Desarrollo de la Región Central (CORPOCENTRO)</v>
          </cell>
          <cell r="J10" t="str">
            <v>4.01.01.11.00 Salarios a obreros en puestos permanentes a tiempo parcial</v>
          </cell>
        </row>
        <row r="11">
          <cell r="D11" t="str">
            <v>A0016 Corporación de Desarrollo de la Región de los Llanos (CORPOLLANOS)</v>
          </cell>
          <cell r="J11" t="str">
            <v>4.01.01.12.00 Salarios a obreros en puestos no permanentes</v>
          </cell>
        </row>
        <row r="12">
          <cell r="D12" t="str">
            <v>A0018 Corporación de Desarrollo de la Región de los Andes (CORPOANDES)</v>
          </cell>
          <cell r="J12" t="str">
            <v>4.01.01.13.00 Suplencias a obreros</v>
          </cell>
        </row>
        <row r="13">
          <cell r="D13" t="str">
            <v>A0019 Corporación de Desarrollo de la Región Zuliana (CORPOZULIA)</v>
          </cell>
          <cell r="J13" t="str">
            <v>4.01.01.18.00 Remuneraciones al personal contratado</v>
          </cell>
        </row>
        <row r="14">
          <cell r="D14" t="str">
            <v>A0022 Instituto Nacional de Investigaciones Agrícolas</v>
          </cell>
          <cell r="J14" t="str">
            <v>4.01.01.18.02 Remuneraciones por Honorarios Profesionales</v>
          </cell>
        </row>
        <row r="15">
          <cell r="D15" t="str">
            <v>A0024 Corporación Venezolana de Guayana (CVG)</v>
          </cell>
          <cell r="J15" t="str">
            <v>4.01.01.19.00 Retribuciones por becas - salarios, bolsas de trabajo, pasantías y similares</v>
          </cell>
        </row>
        <row r="16">
          <cell r="D16" t="str">
            <v>A0025 Instituto Autónomo Hospital Universitario de Caracas (HUC)</v>
          </cell>
          <cell r="J16" t="str">
            <v>4.01.01.20.00 Sueldo del personal militar profesional</v>
          </cell>
        </row>
        <row r="17">
          <cell r="D17" t="str">
            <v>A0028 Instituto Universitario de Tecnología "Dr. Federico Rivero Palacio", Regiòn Capital</v>
          </cell>
          <cell r="J17" t="str">
            <v>4.01.01.21.00 Sueldo o ración del personal militar no profesional</v>
          </cell>
        </row>
        <row r="18">
          <cell r="D18" t="str">
            <v>A0029 Instituto Universitario de Tecnología Alonso Gamero, Coro</v>
          </cell>
          <cell r="J18" t="str">
            <v>4.01.01.22.00 Sueldo del personal militar de reserva</v>
          </cell>
        </row>
        <row r="19">
          <cell r="D19" t="str">
            <v>A0030 Instituto Universitario de Tecnología Agroindustrial Regiòn de Los Andes</v>
          </cell>
          <cell r="J19" t="str">
            <v>4.01.01.27.00 Remuneraciones a parlamentarios</v>
          </cell>
        </row>
        <row r="20">
          <cell r="D20" t="str">
            <v>A0032 Instituto Universitario de Tecnología de los Llanos</v>
          </cell>
          <cell r="J20" t="str">
            <v>4.01.01.28.00 Suplencias a parlamentarios</v>
          </cell>
        </row>
        <row r="21">
          <cell r="D21" t="str">
            <v>A0033 Instituto Universitario de Tecnología de Maracaibo</v>
          </cell>
          <cell r="J21" t="str">
            <v>4.01.01.29.00 Dietas</v>
          </cell>
        </row>
        <row r="22">
          <cell r="D22" t="str">
            <v>A0035 Instituto Universitario de Tecnología de Yaracuy</v>
          </cell>
          <cell r="J22" t="str">
            <v>4.01.01.30.00 Retribución al personal de reserva</v>
          </cell>
        </row>
        <row r="23">
          <cell r="D23" t="str">
            <v>A0036 Instituto Universitario de Tecnología de uerto Cabello</v>
          </cell>
          <cell r="J23" t="str">
            <v>4.01.01.99.00 Otras retribuciones</v>
          </cell>
        </row>
        <row r="24">
          <cell r="D24" t="str">
            <v>A0038 Instituto Universitario de Tecnología de Valencia</v>
          </cell>
          <cell r="J24" t="str">
            <v>4.01.02.00.00 Compensaciones previstas en las escalas de sueldos y salarios</v>
          </cell>
        </row>
        <row r="25">
          <cell r="D25" t="str">
            <v>A0039 Universidad Politécnica Territorial del Estado Trujillo "Mario Briceño Iragorry"</v>
          </cell>
          <cell r="J25" t="str">
            <v>4.01.02.01.00 Compensaciones previstas en las escalas de sueldos al personal empleado fijo a tiempo completo</v>
          </cell>
        </row>
        <row r="26">
          <cell r="D26" t="str">
            <v>A0040 Universidad Politécnica Territorial "José Antonio Anzoátegui"</v>
          </cell>
          <cell r="J26" t="str">
            <v>4.01.02.02.00 Compensaciones previstas en las escalas de sueldos al personal empleado fijo a tiempo parcial</v>
          </cell>
        </row>
        <row r="27">
          <cell r="D27" t="str">
            <v>A0042 Instituto Nacional Universitario de Tecnologìa de Cabimas</v>
          </cell>
          <cell r="J27" t="str">
            <v>4.01.02.03.00 Compensaciones previstas en las escalas de salarios al personal obrero fijo a tiempo completo</v>
          </cell>
        </row>
        <row r="28">
          <cell r="D28" t="str">
            <v>A0044 Instituto de Oficiales de las Fuerzas Armadas en Situación de Retiro (IORFAN)</v>
          </cell>
          <cell r="J28" t="str">
            <v>4.01.02.04.00 Compensaciones previstas en las escalas de salarios al personal obrero fijo a tiempo parcial</v>
          </cell>
        </row>
        <row r="29">
          <cell r="D29" t="str">
            <v>A0046 Instituto Nacional de Capacitación y Educación Socialista (INCES)</v>
          </cell>
          <cell r="J29" t="str">
            <v>4.01.02.05.00 Compensaciones previstas en las escalas de sueldos al personal militar</v>
          </cell>
        </row>
        <row r="30">
          <cell r="D30" t="str">
            <v>A0048 Instituto Universitario de Tecnología del Oeste "Mariscal Sucre"</v>
          </cell>
          <cell r="J30" t="str">
            <v>4.01.03.00.00 Primas a empleados, obreros, personal militar y parlamentarios</v>
          </cell>
        </row>
        <row r="31">
          <cell r="D31" t="str">
            <v>A0049 Instituto Nacional de Deportes (IND)</v>
          </cell>
          <cell r="J31" t="str">
            <v>4.01.03.01.00 Primas por mérito a empleados</v>
          </cell>
        </row>
        <row r="32">
          <cell r="D32" t="str">
            <v>A0050 Instituto de Previsión Social de las Fuerzas Armadas (IPSFA)</v>
          </cell>
          <cell r="J32" t="str">
            <v>4.01.03.02.00 Primas de transporte a empleados</v>
          </cell>
        </row>
        <row r="33">
          <cell r="D33" t="str">
            <v>A0051 Instituto Nacional de Capacitación y Recreación de los Trabajadores (INCRET)</v>
          </cell>
          <cell r="J33" t="str">
            <v>4.01.03.03.00 Primas por hogar a empleados</v>
          </cell>
        </row>
        <row r="34">
          <cell r="D34" t="str">
            <v>A0052 Instituto Nacional de Parques (INPARQUES)</v>
          </cell>
          <cell r="J34" t="str">
            <v>4.01.03.04.00 Primas por hijos a empleados</v>
          </cell>
        </row>
        <row r="35">
          <cell r="D35" t="str">
            <v>A0053 Instituto Univeritario de Tecnología Dr. Delfín Mendoza, Tucupita</v>
          </cell>
          <cell r="J35" t="str">
            <v>4.01.03.05.00 Primas por alquileres a empleados</v>
          </cell>
        </row>
        <row r="36">
          <cell r="D36" t="str">
            <v>A0054 Instituto Autónomo de Previsión Social del Cuerpo de Investigaciones Científicas, Penales y Criminalísticas</v>
          </cell>
          <cell r="J36" t="str">
            <v>4.01.03.06.00 Primas por residencia a empleados</v>
          </cell>
        </row>
        <row r="37">
          <cell r="D37" t="str">
            <v>A0055 Instituto Venezolano de los Seguros Sociales (IVSS)</v>
          </cell>
          <cell r="J37" t="str">
            <v>4.01.03.07.00 Primas por categoría de escuelas a empleados</v>
          </cell>
        </row>
        <row r="38">
          <cell r="D38" t="str">
            <v>A0056 Instituto de Previsión y Asistencia Social para el Personal del Ministerio de Educación (IPASME)</v>
          </cell>
          <cell r="J38" t="str">
            <v>4.01.03.08.00 Primas de profesionalización a empleados</v>
          </cell>
        </row>
        <row r="39">
          <cell r="D39" t="str">
            <v>A0057 Instituto Nacional de Nutrición</v>
          </cell>
          <cell r="J39" t="str">
            <v>4.01.03.09.00 Primas por antigüedad a empleados</v>
          </cell>
        </row>
        <row r="40">
          <cell r="D40" t="str">
            <v>A0061 Instituto Nacional de Higiena "Rafael Rangel" (INHRR)</v>
          </cell>
          <cell r="J40" t="str">
            <v>4.01.03.10.00 Primas por jerarquía o responsabilidad en el cargo</v>
          </cell>
        </row>
        <row r="41">
          <cell r="D41" t="str">
            <v>A0063 Instituto Venezolano de Investigaciones Científicas (IVIC)</v>
          </cell>
          <cell r="J41" t="str">
            <v>4.01.03.11.00 Primas al personal en servicio en el exterior</v>
          </cell>
        </row>
        <row r="42">
          <cell r="D42" t="str">
            <v>A0064 Instituto para el Control y la Conservación del Lago de Maracaibo y su Cuenca Hidrográfica (ICLAM)</v>
          </cell>
          <cell r="J42" t="str">
            <v>4.01.03.16.00 Primas por mérito a obreros</v>
          </cell>
        </row>
        <row r="43">
          <cell r="D43" t="str">
            <v>A0065 Oficina Coordinadora de la Prestación de los Servicios Educativos del Ministerio de la Defensa (OCPSE)</v>
          </cell>
          <cell r="J43" t="str">
            <v>4.01.03.17.00 Primas de transporte a obreros</v>
          </cell>
        </row>
        <row r="44">
          <cell r="D44" t="str">
            <v>A0066 Servicio Autónomo de Salud de la Fuerza Armada Nacional (SASFAN)</v>
          </cell>
          <cell r="J44" t="str">
            <v>4.01.03.18.00 Primas por hogar a obreros</v>
          </cell>
        </row>
        <row r="45">
          <cell r="D45" t="str">
            <v>A0069 Servicio Autónomo Servicios Ambientales del Ministerio del Ambiente y de los Recursos Naturales (SAMARN)</v>
          </cell>
          <cell r="J45" t="str">
            <v>4.01.03.19.00 Primas por hijos de obreros</v>
          </cell>
        </row>
        <row r="46">
          <cell r="D46" t="str">
            <v>A0079 Servicio Autónomo Imprenta Nacional y Gaceta Oficial</v>
          </cell>
          <cell r="J46" t="str">
            <v>4.01.03.20.00 Primas por residencia a obreros</v>
          </cell>
        </row>
        <row r="47">
          <cell r="D47" t="str">
            <v>A0080 Universidad del Zulia (LUZ)</v>
          </cell>
          <cell r="J47" t="str">
            <v>4.01.03.21.00 Primas por antigüedad a obreros</v>
          </cell>
        </row>
        <row r="48">
          <cell r="D48" t="str">
            <v>A0081 Universidad Nacional Experimental Politécnica Antonio José de Sucre (UNEXPO)</v>
          </cell>
          <cell r="J48" t="str">
            <v>4.01.03.22.00 Primas de profesionalización a obreros</v>
          </cell>
        </row>
        <row r="49">
          <cell r="D49" t="str">
            <v>A0082 Universidad de Oriente (UDO)</v>
          </cell>
          <cell r="J49" t="str">
            <v>4.01.03.26.00 Primas por hijos al personal militar</v>
          </cell>
        </row>
        <row r="50">
          <cell r="D50" t="str">
            <v>A0083 Universidad de Los Andes (ULA)</v>
          </cell>
          <cell r="J50" t="str">
            <v>4.01.03.27.00 Primas de profesionalización al personal militar</v>
          </cell>
        </row>
        <row r="51">
          <cell r="D51" t="str">
            <v>A0084 Universidad Nacional Experimental de los Llanos CentraLes Rómulo Gallegos (UNERG)</v>
          </cell>
          <cell r="J51" t="str">
            <v>4.01.03.28.00 Primas por antigüedad al personal militar</v>
          </cell>
        </row>
        <row r="52">
          <cell r="D52" t="str">
            <v>A0085 Universidad Nacional Experimental Rafael María Baralt (UNERMB)</v>
          </cell>
          <cell r="J52" t="str">
            <v>4.01.03.29.00 Primas por potencial de ascenso al personal militar</v>
          </cell>
        </row>
        <row r="53">
          <cell r="D53" t="str">
            <v>A0086 Universidad Nacional Experimental Simón Bolívar (USB)</v>
          </cell>
          <cell r="J53" t="str">
            <v>4.01.03.30.00 Primas por frontera y sitios inhóspitos al personal militar y de seguridad</v>
          </cell>
        </row>
        <row r="54">
          <cell r="D54" t="str">
            <v>A0087 Universidad Nacional Abierta (UNA)</v>
          </cell>
          <cell r="J54" t="str">
            <v>4.01.03.31.00 Primas por riesgo al personal militar y de seguridad</v>
          </cell>
        </row>
        <row r="55">
          <cell r="D55" t="str">
            <v>A0088 Universidad Nacional Experimental de Guayana (UNEG)</v>
          </cell>
          <cell r="J55" t="str">
            <v>4.01.03.36.00 Primas a parlamentarios</v>
          </cell>
        </row>
        <row r="56">
          <cell r="D56" t="str">
            <v>A0089 Universidad Centroccidental Lisandro Alvarado (UCLA)</v>
          </cell>
          <cell r="J56" t="str">
            <v>4.01.03.97.00 Otras primas a empleados</v>
          </cell>
        </row>
        <row r="57">
          <cell r="D57" t="str">
            <v>A0090 Universidad Pedagógica Experimental Libertador (UPEL)</v>
          </cell>
          <cell r="J57" t="str">
            <v>4.01.03.98.00 Otras primas a obreros</v>
          </cell>
        </row>
        <row r="58">
          <cell r="D58" t="str">
            <v>A0091 Universidad Nacional Experimental de Los Llanos Occidentales Ezequiel Zamora (UNELLEZ)</v>
          </cell>
          <cell r="J58" t="str">
            <v>4.01.03.99.00 Otras primas al personal militar</v>
          </cell>
        </row>
        <row r="59">
          <cell r="D59" t="str">
            <v>A0092 Universidad Nacional Experimental del Táchira (UNET)</v>
          </cell>
          <cell r="J59" t="str">
            <v>4.01.04.00.00 Complementos de sueldos y salarios</v>
          </cell>
        </row>
        <row r="60">
          <cell r="D60" t="str">
            <v>A0093 Universidad Central de Venezuela (UCV)</v>
          </cell>
          <cell r="J60" t="str">
            <v>4.01.04.01.00 Complemento a empleados por horas extraordinarias o por sobre tiempo</v>
          </cell>
        </row>
        <row r="61">
          <cell r="D61" t="str">
            <v>A0094 Universidad de Carabobo (UC)</v>
          </cell>
          <cell r="J61" t="str">
            <v>4.01.04.02.00 Complemento a empleados por trabajo nocturno</v>
          </cell>
        </row>
        <row r="62">
          <cell r="D62" t="str">
            <v>A0095 Universidad Nacional Experimental Simón Rodríguez (UNESR)</v>
          </cell>
          <cell r="J62" t="str">
            <v>4.01.04.03.00 Complemento a empleados por gastos de alimentación</v>
          </cell>
        </row>
        <row r="63">
          <cell r="D63" t="str">
            <v>A0096 Universidad Nacional Experimental Francisco de Miranda (UNEFM)</v>
          </cell>
          <cell r="J63" t="str">
            <v>4.01.04.04.00 Complemento a empleados por gastos de transporte</v>
          </cell>
        </row>
        <row r="64">
          <cell r="D64" t="str">
            <v>A0100 Unidad Naval Coordinadora de los Servicios de Carenado, Reparaciones de Casco, Reparaciones y Mantenimiento de Equipo y Sistemas de los Buques (UCOCAR)</v>
          </cell>
          <cell r="J64" t="str">
            <v>4.01.04.05.00 Complemento a empleados por gastos de representación</v>
          </cell>
        </row>
        <row r="65">
          <cell r="D65" t="str">
            <v>A0103 Fundación Instituto Foorestal Latinoamericano</v>
          </cell>
          <cell r="J65" t="str">
            <v>4.01.04.06.00 Complemento a empleados por comisión de servicios</v>
          </cell>
        </row>
        <row r="66">
          <cell r="D66" t="str">
            <v>A0118 Fondo Nacional para Edificaciones Penitenciarias (FONEP)</v>
          </cell>
          <cell r="J66" t="str">
            <v>4.01.04.07.00 Bonificación a empleados</v>
          </cell>
        </row>
        <row r="67">
          <cell r="D67" t="str">
            <v>A0119 Servicio Autónomo Servicio de Elaboraciones Farmaceuticas (SEFAR)</v>
          </cell>
          <cell r="J67" t="str">
            <v>4.01.04.08.00 Bono compensatorio de alimentación a empleados</v>
          </cell>
        </row>
        <row r="68">
          <cell r="D68" t="str">
            <v>A0121 Superintendencia de las Instituciones del Sector (SUDEBAN)</v>
          </cell>
          <cell r="J68" t="str">
            <v>4.01.04.09.00 Bono compensatorio de transporte a empleados</v>
          </cell>
        </row>
        <row r="69">
          <cell r="D69" t="str">
            <v>A0122 Servicio Autónomo de Prestaciones Sociales de los Organismos de la Administración Central</v>
          </cell>
          <cell r="J69" t="str">
            <v>4.01.04.14.00 Complemento a obreros por horas extraordinarias o por sobre tiempo</v>
          </cell>
        </row>
        <row r="70">
          <cell r="D70" t="str">
            <v>A0123 Servicio Nacional Integrado de Administración Aduanera y Tributaria (SENIAT)</v>
          </cell>
          <cell r="J70" t="str">
            <v>4.01.04.15.00 Complemento a obreros por trabajo o jornada nocturna</v>
          </cell>
        </row>
        <row r="71">
          <cell r="D71" t="str">
            <v>A0124 Consejo Nacional para las Personas con Discapacidad</v>
          </cell>
          <cell r="J71" t="str">
            <v>4.01.04.16.00 Complemento a obreros por gastos de alimentación</v>
          </cell>
        </row>
        <row r="72">
          <cell r="D72" t="str">
            <v>A0126 Fondo Autónomo de Inversiones y Previsión Socio-económica para el Personal de Empleados y Obreros de las Fuerzas Armadas Nacionales (FONDOEFA)</v>
          </cell>
          <cell r="J72" t="str">
            <v>4.01.04.17.00 Complemento a obreros por gastos de transporte</v>
          </cell>
        </row>
        <row r="73">
          <cell r="D73" t="str">
            <v>A0129 Servicio Nacional Autónomo de Atención Integral a la Infancia y la Familia (SENIFA)</v>
          </cell>
          <cell r="J73" t="str">
            <v>4.01.04.18.00 Bono compensatorio de alimentación a obreros</v>
          </cell>
        </row>
        <row r="74">
          <cell r="D74" t="str">
            <v>A0135 Academia Nacional de Ciencias Económicas</v>
          </cell>
          <cell r="J74" t="str">
            <v>4.01.04.19.00 Bono compensatorio de transporte a obreros</v>
          </cell>
        </row>
        <row r="75">
          <cell r="D75" t="str">
            <v>A0136 Academia de Ciencias Físicas, Matemáticas y Naturales</v>
          </cell>
          <cell r="J75" t="str">
            <v>4.01.04.24.00 Complemento al personal contratado por horas extraordinarias o por sobre tiempo</v>
          </cell>
        </row>
        <row r="76">
          <cell r="D76" t="str">
            <v>A0137 Academia de Ciencias Políticas y Sociales</v>
          </cell>
          <cell r="J76" t="str">
            <v>4.01.04.25.00 Complemento al personal contratado por gastos de alimentación</v>
          </cell>
        </row>
        <row r="77">
          <cell r="D77" t="str">
            <v>A0138 Academia Nacional de Historia</v>
          </cell>
          <cell r="J77" t="str">
            <v>4.01.04.26.00 Bono compensatorio de alimentación al personal contratado</v>
          </cell>
        </row>
        <row r="78">
          <cell r="D78" t="str">
            <v>A0139 Academia Venezolana de la Lengua</v>
          </cell>
          <cell r="J78" t="str">
            <v>4.01.04.27.00 Bono compensatorio de transporte al personal contratado</v>
          </cell>
        </row>
        <row r="79">
          <cell r="D79" t="str">
            <v>A0140 Academia Nacional de Medicina</v>
          </cell>
          <cell r="J79" t="str">
            <v>4.01.04.32.00 Complemento al personal militar por gastos de alimentación</v>
          </cell>
        </row>
        <row r="80">
          <cell r="D80" t="str">
            <v>A0145 Comisión Nacional de Casinos, Salas de Bingo y Máquinas Traganíqueles</v>
          </cell>
          <cell r="J80" t="str">
            <v>4.01.04.33.00 Complemento al personal militar por gastos de transporte</v>
          </cell>
        </row>
        <row r="81">
          <cell r="D81" t="str">
            <v>A0148 Empresa Socialista Metro de Maracaibo, C.A. (METROMARA)</v>
          </cell>
          <cell r="J81" t="str">
            <v>4.01.04.34.00 Complemento al personal militar en el exterior</v>
          </cell>
        </row>
        <row r="82">
          <cell r="D82" t="str">
            <v>A0150 Instituto del Patrimonio Cultural</v>
          </cell>
          <cell r="J82" t="str">
            <v>4.01.04.35.00 Bono compensatorio de alimentación al personal militar</v>
          </cell>
        </row>
        <row r="83">
          <cell r="D83" t="str">
            <v>A0153 Servicio Autónomo Hospital Universitario de Maracaibo (SAHUM)</v>
          </cell>
          <cell r="J83" t="str">
            <v>4.01.04.40.00 Complemento a parlamentarios por gastos de alimentación</v>
          </cell>
        </row>
        <row r="84">
          <cell r="D84" t="str">
            <v>A0158 Compañía Nacional de Teatro</v>
          </cell>
          <cell r="J84" t="str">
            <v>4.01.04.41.00 Complemento a parlamentarios por gastos de transporte</v>
          </cell>
        </row>
        <row r="85">
          <cell r="D85" t="str">
            <v>A0161 Fundación Compañía Nacional de Música</v>
          </cell>
          <cell r="J85" t="str">
            <v>4.01.04.42.00 Complemento a parlamentarios por gastos de representación</v>
          </cell>
        </row>
        <row r="86">
          <cell r="D86" t="str">
            <v>A0170 Servicio Autónomo Instituto de Altos Estudios</v>
          </cell>
          <cell r="J86" t="str">
            <v>4.01.04.96.00 Otros complementos a empleados</v>
          </cell>
        </row>
        <row r="87">
          <cell r="D87" t="str">
            <v>A0176 Instituto Nacional de Prevención, Salud y Seguridad Laborales (INPSASEL)</v>
          </cell>
          <cell r="J87" t="str">
            <v>4.01.04.97.00 Otros complementos a obreros</v>
          </cell>
        </row>
        <row r="88">
          <cell r="D88" t="str">
            <v>A0181 Servicio Autónomo Instituto de Biomedicina Dr. Jacinto Convit</v>
          </cell>
          <cell r="J88" t="str">
            <v>4.01.04.98.00 Otros complementos al personal contratado</v>
          </cell>
        </row>
        <row r="89">
          <cell r="D89" t="str">
            <v>a0185 Superintendencia Nacional de Valores</v>
          </cell>
          <cell r="J89" t="str">
            <v>4.01.04.99.00 Otros complementos al personal militar</v>
          </cell>
        </row>
        <row r="90">
          <cell r="D90" t="str">
            <v>A0186 Universidad Nacional Experimental de Yaracuy (UNEY)</v>
          </cell>
          <cell r="J90" t="str">
            <v>4.01.05.00.00 Aguinaldos, utilidades o bonificación legal, y bono vacacional a empleados, obreros, contratados, personal militar y parlamentarios</v>
          </cell>
        </row>
        <row r="91">
          <cell r="D91" t="str">
            <v>A0191 Observatorio Nacional de Ciencia, Tecnología e Innovación (ONCTI)</v>
          </cell>
          <cell r="J91" t="str">
            <v>4.01.05.01.00 Aguinaldos a empleados</v>
          </cell>
        </row>
        <row r="92">
          <cell r="D92" t="str">
            <v>A0192 Oficina Coordinadora de Hidrografía y Navegación (OCHINA)</v>
          </cell>
          <cell r="J92" t="str">
            <v>4.01.05.02.00 Utilidades legales y convencionales a empleados</v>
          </cell>
        </row>
        <row r="93">
          <cell r="D93" t="str">
            <v>A0193 Oficina Coordinadora de Apoyo Marítimo de la Armada (OCAMAR)</v>
          </cell>
          <cell r="J93" t="str">
            <v>4.01.05.03.00 Bono vacacional a empleados</v>
          </cell>
        </row>
        <row r="94">
          <cell r="D94" t="str">
            <v>A0194 Servicio Autónomo sin Personalidad Jurídica de la Fuerza Aérea (SAFAV)</v>
          </cell>
          <cell r="J94" t="str">
            <v>4.01.05.04.00 Aguinaldos a obreros</v>
          </cell>
        </row>
        <row r="95">
          <cell r="D95" t="str">
            <v>A0195 Servicio Autónomo de Mantenimiento de Lanchas de la GN (SAMALGUARN)</v>
          </cell>
          <cell r="J95" t="str">
            <v>4.01.05.05.00 Utilidades legales y convencionales a obreros</v>
          </cell>
        </row>
        <row r="96">
          <cell r="D96" t="str">
            <v>A0196 Universidad Nacional Experimental Politécnica de la Fuerza Armada Nacional (UNEFA)</v>
          </cell>
          <cell r="J96" t="str">
            <v>4.01.05.06.00 Bono vacacional a obreros</v>
          </cell>
        </row>
        <row r="97">
          <cell r="D97" t="str">
            <v>A0198 Instituto Nacional de Estadística (INE)</v>
          </cell>
          <cell r="J97" t="str">
            <v>4.01.05.07.00 Aguinaldos al personal contratado</v>
          </cell>
        </row>
        <row r="98">
          <cell r="D98" t="str">
            <v>A0199 Instituto Nacional de Geología y Minería (INGEOMIN)</v>
          </cell>
          <cell r="J98" t="str">
            <v>4.01.05.08.00 Bono vacacional al personal contratado</v>
          </cell>
        </row>
        <row r="99">
          <cell r="D99" t="str">
            <v>A0204 Oficina Coordinadora de los Servicios Agropecuarios del MAT (O.C.S.A)</v>
          </cell>
          <cell r="J99" t="str">
            <v>4.01.05.09.00 Aguinaldos al personal militar</v>
          </cell>
        </row>
        <row r="100">
          <cell r="D100" t="str">
            <v>A0205 Servicio Autónomo Nacional de Normalización, Calidad, Metrología y Reglamentos Técnicos (SENCAMER)</v>
          </cell>
          <cell r="J100" t="str">
            <v>4.01.05.10.00 Bono vacacional al personal militar</v>
          </cell>
        </row>
        <row r="101">
          <cell r="D101" t="str">
            <v>A0208 Universidad Nacional Experimental Sur del Lago "Jesús María Semprúm" (UNESUR)</v>
          </cell>
          <cell r="J101" t="str">
            <v>4.01.05.11.00 Aguinaldos a parlamentarios</v>
          </cell>
        </row>
        <row r="102">
          <cell r="D102" t="str">
            <v>A0209 Centro Nacional de Tecnologías de Información (CNTI)</v>
          </cell>
          <cell r="J102" t="str">
            <v>4.01.05.12.00 Bono vacacional a parlamentarios</v>
          </cell>
        </row>
        <row r="103">
          <cell r="D103" t="str">
            <v>A0212 C.A. Metro los Teques (METROTEQUES)</v>
          </cell>
          <cell r="J103" t="str">
            <v>4.01.06.00.00 Aportes patronales y legales por empleados, obreros, personal militar y parlamentarios</v>
          </cell>
        </row>
        <row r="104">
          <cell r="D104" t="str">
            <v>A0216 Fundación "Pueblo Soberano"</v>
          </cell>
          <cell r="J104" t="str">
            <v>4.01.06.01.00 Aporte patronal al Instituto Venezolano de los Seguros Sociales (IVSS) por empleados</v>
          </cell>
        </row>
        <row r="105">
          <cell r="D105" t="str">
            <v>A0220 Servicio Nacional de Administración y Enajenación de Bienes Asegurados o Incautados, Confiscados y Decomisados</v>
          </cell>
          <cell r="J105" t="str">
            <v>4.01.06.02.00 Aporte patronal al Instituto de Previsión y Asistencia Social para el personal del Ministerio de Educación (Ipasme) por empleados</v>
          </cell>
        </row>
        <row r="106">
          <cell r="D106" t="str">
            <v>A0221 Vialidad y Construcciones Sucre, S.A (VYCSUCRE)</v>
          </cell>
          <cell r="J106" t="str">
            <v>4.01.06.03.00 Aporte patronal al Fondo de Jubilaciones por empleados</v>
          </cell>
        </row>
        <row r="107">
          <cell r="D107" t="str">
            <v>A0226 Academia de Ciencias Agrícolas de Venezuela (ACAV)</v>
          </cell>
          <cell r="J107" t="str">
            <v>4.01.06.04.00 Aporte patronal al Fondo de Seguro de Paro Forzoso por empleados</v>
          </cell>
        </row>
        <row r="108">
          <cell r="D108" t="str">
            <v>A0227 Fundación para los Niños, Niñas y
Adolescentes del Distrito Capital</v>
          </cell>
          <cell r="J108" t="str">
            <v>4.01.06.05.00 Aporte patronal al Fondo de Ahorro Habitacional por empleados</v>
          </cell>
        </row>
        <row r="109">
          <cell r="D109" t="str">
            <v>A0229 Fundación Venezolana para la Prevención y Tratamiento del Consumo de Drogas (FUNDAPRET)</v>
          </cell>
          <cell r="J109" t="str">
            <v>4.01.06.10.00 Aporte patronal al Instituto Venezolano de los Seguros Sociales (IVSS) por obreros</v>
          </cell>
        </row>
        <row r="110">
          <cell r="D110" t="str">
            <v>A0231 Sistema Urbano de Procesamiento, Recolección y Aseo de Caracas (SUPRA-CARACAS, C.A)</v>
          </cell>
          <cell r="J110" t="str">
            <v>4.01.06.11.00 Aporte patronal al Fondo de Jubilaciones por obreros</v>
          </cell>
        </row>
        <row r="111">
          <cell r="D111" t="str">
            <v>A0232 Empresa Nacional Forestal, S.A.</v>
          </cell>
          <cell r="J111" t="str">
            <v>4.01.06.12.00 Aporte patronal al Fondo de Seguro de Paro Forzoso por obreros</v>
          </cell>
        </row>
        <row r="112">
          <cell r="D112" t="str">
            <v>A0233 Registro Nacional Único de Operadores de Sustancias Químicas Controladas</v>
          </cell>
          <cell r="J112" t="str">
            <v>4.01.06.13.00 Aporte patronal al Fondo de Ahorro Habitacional por obreros</v>
          </cell>
        </row>
        <row r="113">
          <cell r="D113" t="str">
            <v>A0234 Fundación Cardiovascular de la AN</v>
          </cell>
          <cell r="J113" t="str">
            <v>4.01.06.18.00 Aporte patronal a los organismos de seguridad social por los trabajadores locales empleados en las representaciones de Venezuela en el exterior</v>
          </cell>
        </row>
        <row r="114">
          <cell r="D114" t="str">
            <v>A0236 Fondo Nacional de Bomberos y Bomberas y Administración de Emergencias de Carácter Civil</v>
          </cell>
          <cell r="J114" t="str">
            <v>4.01.06.19.00 Aporte patronal al Fondo de Ahorro Habitacional por personal militar</v>
          </cell>
        </row>
        <row r="115">
          <cell r="D115" t="str">
            <v>A0237 Corporación Venezolana del Plástico, S.A. (Coveplast, S.A.)</v>
          </cell>
          <cell r="J115" t="str">
            <v>4.01.06.24.00 Aporte legal al Fondo de Ahorro Habitacional a parlamentarios</v>
          </cell>
        </row>
        <row r="116">
          <cell r="D116" t="str">
            <v>A0238 Instituto de Previsión Social Parlamentario</v>
          </cell>
          <cell r="J116" t="str">
            <v>4.01.06.96.00 Otros aportes legales por empleados</v>
          </cell>
        </row>
        <row r="117">
          <cell r="D117" t="str">
            <v>A0239 Fundación para la Investigación, Capacitación y Desarrollo de la Función Fiscal</v>
          </cell>
          <cell r="J117" t="str">
            <v>4.01.06.97.00 Otros aportes legales por obreros</v>
          </cell>
        </row>
        <row r="118">
          <cell r="D118" t="str">
            <v>A0244 Fundación para la Identidad Caraqueña del
Distrito Capital</v>
          </cell>
          <cell r="J118" t="str">
            <v>4.01.06.98.00 Otros aportes legales por personal militar</v>
          </cell>
        </row>
        <row r="119">
          <cell r="D119" t="str">
            <v>A0245 Empresa de Propiedad Social Valle Los Tacariguas, S.A</v>
          </cell>
          <cell r="J119" t="str">
            <v>4.01.06.99.00 Otros aportes legales por parlamentarios</v>
          </cell>
        </row>
        <row r="120">
          <cell r="D120" t="str">
            <v>A0246 Servicio Desconcentrado de Administración y Gestión del Fondo de Ahorro e Inversión Social "Hijos de Venezuela"</v>
          </cell>
          <cell r="J120" t="str">
            <v>4.01.07.00.00 Asistencia socio-económica a empleados, obreros, contratados, personal militar y parlamentarios</v>
          </cell>
        </row>
        <row r="121">
          <cell r="D121" t="str">
            <v>A0248 Fundación Instituto de Altos Estudios del Poder Electoral</v>
          </cell>
          <cell r="J121" t="str">
            <v>4.01.07.01.00 Capacitación y adiestramiento a empleados</v>
          </cell>
        </row>
        <row r="122">
          <cell r="D122" t="str">
            <v>A0249 Fondo de Compensación Interterritorial</v>
          </cell>
          <cell r="J122" t="str">
            <v>4.01.07.02.00 Becas a empleados</v>
          </cell>
        </row>
        <row r="123">
          <cell r="D123" t="str">
            <v>A0250 Tesorería de Seguridad Social</v>
          </cell>
          <cell r="J123" t="str">
            <v>4.01.07.03.00 Ayudas por matrimonio a empleados</v>
          </cell>
        </row>
        <row r="124">
          <cell r="D124" t="str">
            <v>A0251 Instituto Nacional de Tierras Urbanas</v>
          </cell>
          <cell r="J124" t="str">
            <v>4.01.07.04.00 Ayudas por nacimiento de hijos a empleados</v>
          </cell>
        </row>
        <row r="125">
          <cell r="D125" t="str">
            <v xml:space="preserve">A0253 Farmapatria, C.A </v>
          </cell>
          <cell r="J125" t="str">
            <v>4.01.07.05.00 Ayudas por defunción a empleados</v>
          </cell>
        </row>
        <row r="126">
          <cell r="D126" t="str">
            <v>A0255 Superintendencia Nacional de Arrendamiento de Vivienda</v>
          </cell>
          <cell r="J126" t="str">
            <v>4.01.07.06.00 Ayudas para medicinas, gastos médicos, odontológicos y de hospitalización a empleados</v>
          </cell>
        </row>
        <row r="127">
          <cell r="D127" t="str">
            <v>A0257 Universidad Politécnica Territorial del Estado Portuguesa "Juan Jesús Montilla"</v>
          </cell>
          <cell r="J127" t="str">
            <v>4.01.07.07.00 Aporte patronal a cajas de ahorro por empleados</v>
          </cell>
        </row>
        <row r="128">
          <cell r="D128" t="str">
            <v>A0258 Universidad Politécnica Territorial del Estado Mérida "Kléber Ramirez"</v>
          </cell>
          <cell r="J128" t="str">
            <v>4.01.07.08.00 Aporte patronal a los servicios de salud, accidentes personales y gastos funerarios por empleados</v>
          </cell>
        </row>
        <row r="129">
          <cell r="D129" t="str">
            <v>A0259 Universidad Politécnica Territorial del Oeste de Sucre "Clodosbaldo Russián"</v>
          </cell>
          <cell r="J129" t="str">
            <v>4.01.07.09.00 Ayudas a empleados para adquisición de uniformes y útiles escolares de sus hijos</v>
          </cell>
        </row>
        <row r="130">
          <cell r="D130" t="str">
            <v>A0260 Universidad Politécnica Territorial de Paria "Luis Mariano Rivera"</v>
          </cell>
          <cell r="J130" t="str">
            <v>4.01.07.10.00 Dotación de uniformes a empleados</v>
          </cell>
        </row>
        <row r="131">
          <cell r="D131" t="str">
            <v>A0261 Corporación de Desarrollo Jacinto Lara (CORPOLARA)</v>
          </cell>
          <cell r="J131" t="str">
            <v>4.01.07.11.00 Aporte patronal para gastos de guarderías y preescolar para hijos de empleados</v>
          </cell>
        </row>
        <row r="132">
          <cell r="D132" t="str">
            <v>A0266 Fondo Especial Ezequiel Zamora</v>
          </cell>
          <cell r="J132" t="str">
            <v>4.01.07.12.00 Aportes para la adquisición de juguetes para los hijos del</v>
          </cell>
        </row>
        <row r="133">
          <cell r="D133" t="str">
            <v>A0268 Fondo Simón Bolívar para la Reconstrucción, S.A</v>
          </cell>
          <cell r="J133" t="str">
            <v>4.01.07.17.00 Capacitación y adiestramiento a obreros</v>
          </cell>
        </row>
        <row r="134">
          <cell r="D134" t="str">
            <v>A0270 Fundación Gran Misión A Toda Vida Venezuela</v>
          </cell>
          <cell r="J134" t="str">
            <v>4.01.07.18.00 Becas a obreros</v>
          </cell>
        </row>
        <row r="135">
          <cell r="D135" t="str">
            <v>A0271 Fundación Centro Nacional de Investigación y Certificación en Vivinda, Hábitat y Desarrollo Urbano</v>
          </cell>
          <cell r="J135" t="str">
            <v>4.01.07.19.00 Ayudas por matrimonio de obreros</v>
          </cell>
        </row>
        <row r="136">
          <cell r="D136" t="str">
            <v>A0272 Universidad Politécnica Territorial del Norte de Monagas "Ludovico Silva"</v>
          </cell>
          <cell r="J136" t="str">
            <v>4.01.07.20.00 Ayudas por nacimiento de hijos de obreros</v>
          </cell>
        </row>
        <row r="137">
          <cell r="D137" t="str">
            <v>A0278 Constructora Ipsfa C.A</v>
          </cell>
          <cell r="J137" t="str">
            <v>4.01.07.21.00 Ayudas por defunción a obreros</v>
          </cell>
        </row>
        <row r="138">
          <cell r="D138" t="str">
            <v xml:space="preserve">A0279 Superintendencia de Bienes Públicos </v>
          </cell>
          <cell r="J138" t="str">
            <v>4.01.07.22.00 Ayudas para medicinas, gastos médicos, odontológicos y de hospitalización a obreros</v>
          </cell>
        </row>
        <row r="139">
          <cell r="D139" t="str">
            <v>A0287 Fundación Fondo Editorial dela AN "Willian Lara"</v>
          </cell>
          <cell r="J139" t="str">
            <v>4.01.07.23.00 Aporte patronal a cajas de ahorro por obreros</v>
          </cell>
        </row>
        <row r="140">
          <cell r="D140" t="str">
            <v>A0288 Servicio de Administración Tributaria
Insular Miranda (SATIM)</v>
          </cell>
          <cell r="J140" t="str">
            <v>4.01.07.24.00 Aporte patronal a los servicios de salud, accidentes personales y gastos funerarios por obreros</v>
          </cell>
        </row>
        <row r="141">
          <cell r="D141" t="str">
            <v>A0289 Empresa de Propiedad Social Maderas del Orinoco, C.A. (Maderas del Orinoco, C.A.)</v>
          </cell>
          <cell r="J141" t="str">
            <v>4.01.07.25.00 Ayudas a obreros para adquisición de uniformes y útiles escolares de sus hijos</v>
          </cell>
        </row>
        <row r="142">
          <cell r="D142" t="str">
            <v>A0291 Fundación Atención Integral al Pueblo Legilador</v>
          </cell>
          <cell r="J142" t="str">
            <v>4.01.07.26.00 Dotación de uniformes a obreros</v>
          </cell>
        </row>
        <row r="143">
          <cell r="D143" t="str">
            <v>A0292 Fundación "Instituto para el Desarrollo Energético Luis Zambrano"</v>
          </cell>
          <cell r="J143" t="str">
            <v>4.01.07.27.00 Aporte patronal para gastos de guarderías y preescolar para hijos de obreros</v>
          </cell>
        </row>
        <row r="144">
          <cell r="D144" t="str">
            <v xml:space="preserve">A0293 Servicio Desconcentrado de Bienes y Servicios de la FANB (SEDEFANB) </v>
          </cell>
          <cell r="J144" t="str">
            <v>4.01.07.28.00 Aportes para la adquisición de juguetes para los hijos del personal obrero</v>
          </cell>
        </row>
        <row r="145">
          <cell r="D145" t="str">
            <v>A0296 Corporación de Desarrollo de la Cuenca del Río Tuy "Francisco
de Miranda", S.A. (Corpomiranda, S.A.)</v>
          </cell>
          <cell r="J145" t="str">
            <v>4.01.07.33.00 Asistencia socio-económica al personal contratado</v>
          </cell>
        </row>
        <row r="146">
          <cell r="D146" t="str">
            <v>A0298 Corporación Especial para el Desarrollo Integral del Estado
Amazonas, S.A. (Corpoamazonas, S.A.)</v>
          </cell>
          <cell r="J146" t="str">
            <v>4.01.07.34.00 Capacitación y adiestramiento al personal militar</v>
          </cell>
        </row>
        <row r="147">
          <cell r="D147" t="str">
            <v>A0301 Fundación Biblioteca Ayacucho</v>
          </cell>
          <cell r="J147" t="str">
            <v>4.01.07.35.00 Becas al personal militar</v>
          </cell>
        </row>
        <row r="148">
          <cell r="D148" t="str">
            <v>A0303 Fundación Centro de Investigaciones del Estado para la Producción Experimental Agroindustrial (CIEPE)</v>
          </cell>
          <cell r="J148" t="str">
            <v>4.01.07.36.00 Ayudas por matrimonio al personal militar</v>
          </cell>
        </row>
        <row r="149">
          <cell r="D149" t="str">
            <v>A0305 Fundación "Centro de Estudios Biológicos sobre Crecimiento y Desarrollo de la Población</v>
          </cell>
          <cell r="J149" t="str">
            <v>4.01.07.37.00 Ayudas por nacimiento de hijos al personal militar</v>
          </cell>
        </row>
        <row r="150">
          <cell r="D150" t="str">
            <v>A0306 Fundación José Félix Ribas" (FUNDARIBAS)</v>
          </cell>
          <cell r="J150" t="str">
            <v>4.01.07.38.00 Ayudas por defunción al personal militar</v>
          </cell>
        </row>
        <row r="151">
          <cell r="D151" t="str">
            <v>A0307 Fundación para el Servicio de Asistencia Médica Hospitalaria para estudiantes de Educación Superior (FAMES)</v>
          </cell>
          <cell r="J151" t="str">
            <v>4.01.07.39.00 Ayudas para medicinas, gastos médicos, odontológicos y de hospitalización al personal militar</v>
          </cell>
        </row>
        <row r="152">
          <cell r="D152" t="str">
            <v>A0313 Fundación Instituto de Estudios Avanzados (IDEA)</v>
          </cell>
          <cell r="J152" t="str">
            <v>4.01.07.40.00 Aporte patronal a caja de ahorro por personal militar</v>
          </cell>
        </row>
        <row r="153">
          <cell r="D153" t="str">
            <v>A0314 Fundación para el Desarrollo de la Ciencia y Tecnología en el Estado Anzoátegui (Fundacite-Anzoátegui)</v>
          </cell>
          <cell r="J153" t="str">
            <v xml:space="preserve">4.01.07.41.00 Aporte patronal a los servicios de salud, accidentes personales </v>
          </cell>
        </row>
        <row r="154">
          <cell r="D154" t="str">
            <v>A0315  Fundación para el Desarrollo de la Ciencia y Tecnología en el Estado Aragua (Fundacite-Aragua)</v>
          </cell>
          <cell r="J154" t="str">
            <v>4.01.07.42.00 Ayudas al personal militar para adquisición de uniformes y útiles escolares de sus hijos</v>
          </cell>
        </row>
        <row r="155">
          <cell r="D155" t="str">
            <v>A0316 Fundación para el Desarrollo de la Ciencia y la Tecnología del Estado Carabobo (Fundacite-Carabobo)</v>
          </cell>
          <cell r="J155" t="str">
            <v>4.01.07.43.00 Aportes para la adquisición de juguetes para los hijos del personal militar</v>
          </cell>
        </row>
        <row r="156">
          <cell r="D156" t="str">
            <v>A0318 Fundación para el Desarrollo de la Ciencia y la Tecnología del Estado Falcón (Fundacite-Falcón)</v>
          </cell>
          <cell r="J156" t="str">
            <v>4.01.07.48.00 Ayudas para medicinas, gastos médicos, odontológicos y de hospitalización de parlamentarios</v>
          </cell>
        </row>
        <row r="157">
          <cell r="D157" t="str">
            <v>A0319 Fundación para el Desarrollo de la Ciencia y la Tecnología del Estado Bolívar (Fundacite-Bolívar)</v>
          </cell>
          <cell r="J157" t="str">
            <v>4.01.07.49.00 Aporte a cajas de ahorro por parlamentarios</v>
          </cell>
        </row>
        <row r="158">
          <cell r="D158" t="str">
            <v>A0320 Fundación para el Desarrollo de la Ciencia y la Tecnología del Estado Mérida (Fundacite-Mérida)</v>
          </cell>
          <cell r="J158" t="str">
            <v>4.01.07.50.00 Aporte patronal a los servicios de salud, accidentes personales y gastos funerarios por parlamentarios</v>
          </cell>
        </row>
        <row r="159">
          <cell r="D159" t="str">
            <v>A0321 Fundación para el Desarrollo de la Ciencia y la Tecnología del Estado Téchira (Fundacite-Táchira)</v>
          </cell>
          <cell r="J159" t="str">
            <v>4.01.07.51.00 Capacitación y adiestramiento a parlamentarios</v>
          </cell>
        </row>
        <row r="160">
          <cell r="D160" t="str">
            <v>A0322 Fundación para el Desarrollo de la Ciencia y la Tecnología del Estado Sucre (Fundacite-Sucre)</v>
          </cell>
          <cell r="J160" t="str">
            <v>4.01.07.96.00 Otras subvenciones a empleados</v>
          </cell>
        </row>
        <row r="161">
          <cell r="D161" t="str">
            <v>A0323 Fundación de Edificaciones y Dotaciones Educativas (FEDE)</v>
          </cell>
          <cell r="J161" t="str">
            <v>4.01.07.97.00 Otras subvenciones a obreros</v>
          </cell>
        </row>
        <row r="162">
          <cell r="D162" t="str">
            <v xml:space="preserve">A0324 Fundación de Educación Ambiental </v>
          </cell>
          <cell r="J162" t="str">
            <v>4.01.07.98.00 Otras subvenciones al personal militar</v>
          </cell>
        </row>
        <row r="163">
          <cell r="D163" t="str">
            <v>A0325 Fundación Escuela de Gerencia Social (FEGS)</v>
          </cell>
          <cell r="J163" t="str">
            <v>4.01.07.99.00 Otras subvenciones a parlamentarios</v>
          </cell>
        </row>
        <row r="164">
          <cell r="D164" t="str">
            <v>A0326 Fundación para el Desarrollo y Promoción del Poder Comunal (FUNDACOMUNAL)</v>
          </cell>
          <cell r="J164" t="str">
            <v>4.01.08.00.00 Prestaciones sociales e indemnizaciones a empleados, obreros, contratados, personal militar y parlamentarios</v>
          </cell>
        </row>
        <row r="165">
          <cell r="D165" t="str">
            <v>A0330 Fundación Fondo Nacional de Transporte Urbano (FONTUR)</v>
          </cell>
          <cell r="J165" t="str">
            <v>4.01.08.01.00 Prestaciones sociales e indemnizaciones a empleados</v>
          </cell>
        </row>
        <row r="166">
          <cell r="D166" t="str">
            <v>A0333 Fundación Gran Mariscal de Ayacucho (FUNDAYACUCHO)</v>
          </cell>
          <cell r="J166" t="str">
            <v>4.01.08.02.00 Prestaciones sociales e indemnizaciones a obreros</v>
          </cell>
        </row>
        <row r="167">
          <cell r="D167" t="str">
            <v>A0334 Fundación Instituto de Ingienería para la Investigación y Desarrollo Tecnológico (FIIDT)</v>
          </cell>
          <cell r="J167" t="str">
            <v>4.01.08.03.00 Prestaciones sociales e indemnizaciones al personal contratado</v>
          </cell>
        </row>
        <row r="168">
          <cell r="D168" t="str">
            <v>A0338 Fundación Instituto Zuliano de Investigaciones Tecnológicas (INZIT-CICASI)</v>
          </cell>
          <cell r="J168" t="str">
            <v>4.01.08.04.00 Prestaciones sociales e indemnizaciones al personal militar</v>
          </cell>
        </row>
        <row r="169">
          <cell r="D169" t="str">
            <v>A0342 Fundación Casa Nacional de las Letras Andrés Bello</v>
          </cell>
          <cell r="J169" t="str">
            <v>4.01.08.05.00 Prestaciones sociales e indemnizaciones a parlamentarios</v>
          </cell>
        </row>
        <row r="170">
          <cell r="D170" t="str">
            <v>A0343 Fundación Laboratorio Nacional de Hidráulica</v>
          </cell>
          <cell r="J170" t="str">
            <v>4.01.09.00.00 Capacitación y adiestramiento realizado por personal del organismo</v>
          </cell>
        </row>
        <row r="171">
          <cell r="D171" t="str">
            <v>A0354 Fundación Nacional de Parques Zoológicos y Acuarios</v>
          </cell>
          <cell r="J171" t="str">
            <v>4.01.09.01.00 Capacitación y adiestramiento realizado por personal del organismo</v>
          </cell>
        </row>
        <row r="172">
          <cell r="D172" t="str">
            <v>A0355 Fundación para el Desarrollo de la Ciencia y la Tecnología en el Estado Zulia (Fundacite-Zulia)</v>
          </cell>
          <cell r="J172" t="str">
            <v>4.01.96.00.00 Otros gastos del personal empleado</v>
          </cell>
        </row>
        <row r="173">
          <cell r="D173" t="str">
            <v>A0356 Fundación Guardería Infantil del Ministerio de Energía y Minas "La Alquitrana"</v>
          </cell>
          <cell r="J173" t="str">
            <v>4.01.96.01.00 Otros gastos del personal empleado</v>
          </cell>
        </row>
        <row r="174">
          <cell r="D174" t="str">
            <v>A0361 Fundación Oro Negro</v>
          </cell>
          <cell r="J174" t="str">
            <v>4.01.97.00.00 Otros gastos del personal obrero</v>
          </cell>
        </row>
        <row r="175">
          <cell r="D175" t="str">
            <v>A0363 Fundación Venezolana de Investigaciones Sismológicas (FUNVISIS)</v>
          </cell>
          <cell r="J175" t="str">
            <v>4.01.97.01.00 Otros gastos del personal obrero</v>
          </cell>
        </row>
        <row r="176">
          <cell r="D176" t="str">
            <v>A0364 Fundación para el Desarrollo del Servicio Eléctrico (FUNDELEC)</v>
          </cell>
          <cell r="J176" t="str">
            <v>4.01.98.00.00 Otros gastos del personal militar</v>
          </cell>
        </row>
        <row r="177">
          <cell r="D177" t="str">
            <v>A0367 Fundación Laboratorio Nacional de Vialidad (FUNDALANAVIAL)</v>
          </cell>
          <cell r="J177" t="str">
            <v>4.01.98.01.00 Otros gastos del personal militar</v>
          </cell>
        </row>
        <row r="178">
          <cell r="D178" t="str">
            <v>A0369 Fundación Musical Simón Bolívar (Fundamusical Bolívar)</v>
          </cell>
          <cell r="J178" t="str">
            <v>4.01.99.00.00 Otros gastos de los parlamentarios</v>
          </cell>
        </row>
        <row r="179">
          <cell r="D179" t="str">
            <v>A0371 Fundación Vicente Emilio Sojo</v>
          </cell>
          <cell r="J179" t="str">
            <v>4.01.99.01.00 Otros gastos de los parlamentarios</v>
          </cell>
        </row>
        <row r="180">
          <cell r="D180" t="str">
            <v>A0372 Fundación Teatro Teresa Carreño</v>
          </cell>
          <cell r="J180" t="str">
            <v>4.02.00.00.00 MATERIALES, SUMINISTROS Y MERCANCÍAS</v>
          </cell>
        </row>
        <row r="181">
          <cell r="D181" t="str">
            <v>A0373 Fundación Centro de Estudios Latinoamericanos Rómulo Gallegos</v>
          </cell>
          <cell r="J181" t="str">
            <v>4.02.01.00.00 Productos alimenticios y agropecuarios</v>
          </cell>
        </row>
        <row r="182">
          <cell r="D182" t="str">
            <v>A0374 Fundación Librerías del Sur</v>
          </cell>
          <cell r="J182" t="str">
            <v>4.02.01.01.00 Alimentos y bebidas para personas</v>
          </cell>
        </row>
        <row r="183">
          <cell r="D183" t="str">
            <v>A0375 Fundación Casa del Artista</v>
          </cell>
          <cell r="J183" t="str">
            <v>4.02.01.02.00 Alimentos para animales</v>
          </cell>
        </row>
        <row r="184">
          <cell r="D184" t="str">
            <v>A0378 Centro de la Diversidad Cultural</v>
          </cell>
          <cell r="J184" t="str">
            <v>4.02.01.03.00 Productos agrícolas y pecuarios</v>
          </cell>
        </row>
        <row r="185">
          <cell r="D185" t="str">
            <v>A0382 Fundación Centro de Investigaciones de Astronomía Francisco Duarte (CIDA)</v>
          </cell>
          <cell r="J185" t="str">
            <v>4.02.01.04.00 Productos de la caza y pesca</v>
          </cell>
        </row>
        <row r="186">
          <cell r="D186" t="str">
            <v>A0387 Fundación Centro Nacional para el Mejoramiento de la Enseñanza de Ciencia (CENAMEC)</v>
          </cell>
          <cell r="J186" t="str">
            <v>4.02.01.99.00 Otros productos alimenticios y agropecuarios</v>
          </cell>
        </row>
        <row r="187">
          <cell r="D187" t="str">
            <v>A0390 Fundación Cinemateca Nacional</v>
          </cell>
          <cell r="J187" t="str">
            <v>4.02.02.00.00 Productos de minas, canteras y yacimientos</v>
          </cell>
        </row>
        <row r="188">
          <cell r="D188" t="str">
            <v>A0398 Fundación Instituto de Altos Estudios de Control Fiscal y Auditoría de Estado Gumersindo Torres (COFAE)</v>
          </cell>
          <cell r="J188" t="str">
            <v>4.02.02.01.00 Carbón mineral</v>
          </cell>
        </row>
        <row r="189">
          <cell r="D189" t="str">
            <v>A0403 Fundación Procuraduría</v>
          </cell>
          <cell r="J189" t="str">
            <v>4.02.02.02.00 Petróleo crudo y gas natural</v>
          </cell>
        </row>
        <row r="190">
          <cell r="D190" t="str">
            <v>A0405 Fundación para el Desarrollo de la Ciencia y la Tecnología del Estado Lara (Fundacite-Lara)</v>
          </cell>
          <cell r="J190" t="str">
            <v>4.02.02.03.00 Mineral de hierro</v>
          </cell>
        </row>
        <row r="191">
          <cell r="D191" t="str">
            <v>A0409 Fundación Medios Audiovisuales del Servicio de la Educación (EDUMEDIA)</v>
          </cell>
          <cell r="J191" t="str">
            <v>4.02.02.04.00 Mineral no ferroso</v>
          </cell>
        </row>
        <row r="192">
          <cell r="D192" t="str">
            <v>A0410 Fundación Bolivariana de Informática y Telemática (FUNDABIT)</v>
          </cell>
          <cell r="J192" t="str">
            <v>4.02.02.05.00 Piedra, arcilla, arena y tierra</v>
          </cell>
        </row>
        <row r="193">
          <cell r="D193" t="str">
            <v>A0411 Fundación Pro-Patria 2000</v>
          </cell>
          <cell r="J193" t="str">
            <v>4.02.02.06.00 Mineral para la fabricación de productos químicos</v>
          </cell>
        </row>
        <row r="194">
          <cell r="D194" t="str">
            <v>A0412 Fundación Juan Vives Suriá</v>
          </cell>
          <cell r="J194" t="str">
            <v>4.02.02.07.00 Sal para uso industrial</v>
          </cell>
        </row>
        <row r="195">
          <cell r="D195" t="str">
            <v>A0413 Fundación Poliedro de Caracas</v>
          </cell>
          <cell r="J195" t="str">
            <v>4.02.02.99.00 Otros productos de minas, canteras y yacimientos</v>
          </cell>
        </row>
        <row r="196">
          <cell r="D196" t="str">
            <v>A0414 Fundación Frente Bolivariano de Luchadores Sociales</v>
          </cell>
          <cell r="J196" t="str">
            <v>4.02.03.00.00 Textiles y vestuarios</v>
          </cell>
        </row>
        <row r="197">
          <cell r="D197" t="str">
            <v>A0415 Fundación Misión Sucre</v>
          </cell>
          <cell r="J197" t="str">
            <v>4.02.03.01.00 Textiles</v>
          </cell>
        </row>
        <row r="198">
          <cell r="D198" t="str">
            <v>A0416 Fundación para los Servicios de Salud y Previsión Social de la CGR (SERSACON)</v>
          </cell>
          <cell r="J198" t="str">
            <v>4.02.03.02.00 Prendas de vestir</v>
          </cell>
        </row>
        <row r="199">
          <cell r="D199" t="str">
            <v>A0417 Fundación Centro Nacional de la Fotografía (CENAF)</v>
          </cell>
          <cell r="J199" t="str">
            <v>4.02.03.03.00 Calzados</v>
          </cell>
        </row>
        <row r="200">
          <cell r="D200" t="str">
            <v>A0418 Fundación Misión Ribas</v>
          </cell>
          <cell r="J200" t="str">
            <v>4.02.03.99.00 Otros productos textiles y vestuarios</v>
          </cell>
        </row>
        <row r="201">
          <cell r="D201" t="str">
            <v>A0420 Fundación Televisora de la AN (ANTV)</v>
          </cell>
          <cell r="J201" t="str">
            <v>4.02.04.00.00 Productos de cuero y caucho</v>
          </cell>
        </row>
        <row r="202">
          <cell r="D202" t="str">
            <v>A0421 Fundación Programa de Alimentos Estratégicos (Fundaproal)</v>
          </cell>
          <cell r="J202" t="str">
            <v>4.02.04.01.00 Cueros y pieles</v>
          </cell>
        </row>
        <row r="203">
          <cell r="D203" t="str">
            <v>A0423 Fundación Misión Identidad</v>
          </cell>
          <cell r="J203" t="str">
            <v>4.02.04.02.00 Productos de cuero y sucedáneos del cuero</v>
          </cell>
        </row>
        <row r="204">
          <cell r="D204" t="str">
            <v>A0424 Fundación Museos Nacionales</v>
          </cell>
          <cell r="J204" t="str">
            <v>4.02.04.03.00 Cauchos y tripas para vehículos</v>
          </cell>
        </row>
        <row r="205">
          <cell r="D205" t="str">
            <v>A0425 Fundación Samuel Robinson</v>
          </cell>
          <cell r="J205" t="str">
            <v>4.02.04.99.00 Otros productos de cuero y caucho</v>
          </cell>
        </row>
        <row r="206">
          <cell r="D206" t="str">
            <v>A0426 Fundación Tierra Fértil</v>
          </cell>
          <cell r="J206" t="str">
            <v>4.02.05.00.00 Productos de papel, cartón e impresos</v>
          </cell>
        </row>
        <row r="207">
          <cell r="D207" t="str">
            <v>A0427 Fundación Centro Internacional Miranda</v>
          </cell>
          <cell r="J207" t="str">
            <v>4.02.05.01.00 Pulpa de madera, papel y cartón</v>
          </cell>
        </row>
        <row r="208">
          <cell r="D208" t="str">
            <v>A0428 Fundación Fondo Nacional para la Producción Lechera</v>
          </cell>
          <cell r="J208" t="str">
            <v>4.02.05.02.00 Envases y cajas de papel y cartón</v>
          </cell>
        </row>
        <row r="209">
          <cell r="D209" t="str">
            <v>A0429 Fundación Centro Nacional de Tecnología Química (CNTQ)</v>
          </cell>
          <cell r="J209" t="str">
            <v>4.02.05.03.00 Productos de papel y cartón para oficina</v>
          </cell>
        </row>
        <row r="210">
          <cell r="D210" t="str">
            <v>A0430 Fundación para el Desarrollo de la Ciencia y la Tecnología del Estado Amazonas (Fundacite-Amazonas)</v>
          </cell>
          <cell r="J210" t="str">
            <v>4.02.05.04.00 Libros, revistas y periódicos</v>
          </cell>
        </row>
        <row r="211">
          <cell r="D211" t="str">
            <v>A0431 Fundación para el Desarrollo de la Ciencia y la Tecnología del Estado Apure (Fundacite-Apure)</v>
          </cell>
          <cell r="J211" t="str">
            <v>4.02.05.05.00 Material de enseñanza</v>
          </cell>
        </row>
        <row r="212">
          <cell r="D212" t="str">
            <v>A0432 Fundación para el Desarrollo de la Ciencia y la Tecnología del Estado Barinas (Fundacite-Barinas)</v>
          </cell>
          <cell r="J212" t="str">
            <v>4.02.05.06.00 Productos de papel y cartón para computación</v>
          </cell>
        </row>
        <row r="213">
          <cell r="D213" t="str">
            <v>A0433 Fundación para el Desarrollo de la Ciencia y la Tecnología del Estado Cojedes (Fundacite-Cojedes)</v>
          </cell>
          <cell r="J213" t="str">
            <v>4.02.05.07.00 Productos de papel y cartón para la imprenta y reproducción</v>
          </cell>
        </row>
        <row r="214">
          <cell r="D214" t="str">
            <v>A0434 Fundación para el Desarrollo de la Ciencia y la Tecnología del Estado Delta Amacuro (Fundacite-Delta Amacuro)</v>
          </cell>
          <cell r="J214" t="str">
            <v>4.02.05.99.00 Otros productos de pulpa, papel y cartón</v>
          </cell>
        </row>
        <row r="215">
          <cell r="D215" t="str">
            <v>A0435 Fundación para el Desarrollo de la Ciencia y la Tecnología del Estado Guárico (Fundacite-Guárico)</v>
          </cell>
          <cell r="J215" t="str">
            <v>4.02.06.00.00 Productos químicos y derivados</v>
          </cell>
        </row>
        <row r="216">
          <cell r="D216" t="str">
            <v>A0436 Fundación para el Desarrollo de la Ciencia y la Tecnología del Estado Miranda (Fundacite-Miranda)</v>
          </cell>
          <cell r="J216" t="str">
            <v>4.02.06.01.00 Sustancias químicas y de uso industrial</v>
          </cell>
        </row>
        <row r="217">
          <cell r="D217" t="str">
            <v>A0437 Fundación para el Desarrollo de la Ciencia y la Tecnología del Estado Monagas (Fundacite-Monagas)</v>
          </cell>
          <cell r="J217" t="str">
            <v>4.02.06.02.00 Abonos, plaguicidas y otros</v>
          </cell>
        </row>
        <row r="218">
          <cell r="D218" t="str">
            <v>A0438 Fundación para el Desarrollo de la Ciencia y la Tecnología del Estado Nueva Esparta (Fundacite-Nueva Esparta)</v>
          </cell>
          <cell r="J218" t="str">
            <v>4.02.06.03.00 Tintas, pinturas y colorantes</v>
          </cell>
        </row>
        <row r="219">
          <cell r="D219" t="str">
            <v>A0439 Fundación para el Desarrollo de la Ciencia y la Tecnología del Estado Portuguesa (Fundacite-Portuguesa)</v>
          </cell>
          <cell r="J219" t="str">
            <v>4.02.06.04.00 Productos farmacéuticos y medicamentos</v>
          </cell>
        </row>
        <row r="220">
          <cell r="D220" t="str">
            <v>A0440  Fundación para el Desarrollo de la Ciencia y Tecnología en el Estado Trujillo (Fundacite-Trujillo)</v>
          </cell>
          <cell r="J220" t="str">
            <v>4.02.06.05.00 Productos de tocador</v>
          </cell>
        </row>
        <row r="221">
          <cell r="D221" t="str">
            <v>A0442  Fundación para el Desarrollo de la Ciencia y Tecnología en el Estado Yaracuy (Fundacite-Yaracuy)</v>
          </cell>
          <cell r="J221" t="str">
            <v>4.02.06.06.00 Combustibles y lubricantes</v>
          </cell>
        </row>
        <row r="222">
          <cell r="D222" t="str">
            <v>A0444 Fundación Misión Hábitat</v>
          </cell>
          <cell r="J222" t="str">
            <v>4.02.06.07.00 Productos diversos derivados del petróleo y del carbón</v>
          </cell>
        </row>
        <row r="223">
          <cell r="D223" t="str">
            <v>A0445 Fundación Hospital Cardiológico Infantil Latinoamericano "Dr. Gilberto Rodríguez Ochoa"</v>
          </cell>
          <cell r="J223" t="str">
            <v>4.02.06.08.00 Productos plásticos</v>
          </cell>
        </row>
        <row r="224">
          <cell r="D224" t="str">
            <v xml:space="preserve">A0446 Fundación Misión Barrio Adentro </v>
          </cell>
          <cell r="J224" t="str">
            <v>4.02.06.09.00 Mezclas explosivas</v>
          </cell>
        </row>
        <row r="225">
          <cell r="D225" t="str">
            <v>A0448 Fundación de Atención Social del Ministerio de la Defensa (FUNDASMIN)</v>
          </cell>
          <cell r="J225" t="str">
            <v>4.02.06.99.00 Otros productos de la industria química y conexos</v>
          </cell>
        </row>
        <row r="226">
          <cell r="D226" t="str">
            <v>A0449 Fundación Distribuidora Venezolana de la Cultura</v>
          </cell>
          <cell r="J226" t="str">
            <v>4.02.07.00.00 Productos minerales no metálicos</v>
          </cell>
        </row>
        <row r="227">
          <cell r="D227" t="str">
            <v>A0450 Fundación Compañía Nacional de Danza</v>
          </cell>
          <cell r="J227" t="str">
            <v>4.02.07.01.00 Productos de barro, loza y porcelana</v>
          </cell>
        </row>
        <row r="228">
          <cell r="D228" t="str">
            <v>A0451 Fundación Villa Cine</v>
          </cell>
          <cell r="J228" t="str">
            <v>4.02.07.02.00 Vidrios y productos de vidrio</v>
          </cell>
        </row>
        <row r="229">
          <cell r="D229" t="str">
            <v>A0452 Fundación Misión Cultura</v>
          </cell>
          <cell r="J229" t="str">
            <v>4.02.07.03.00 Productos de arcilla para construcción</v>
          </cell>
        </row>
        <row r="230">
          <cell r="D230" t="str">
            <v>A0453 Fundación Editorial El Perro y La Rana</v>
          </cell>
          <cell r="J230" t="str">
            <v>4.02.07.04.00 Cemento, cal y yeso</v>
          </cell>
        </row>
        <row r="231">
          <cell r="D231" t="str">
            <v>A0454 Fundación Distribuidora Nacional de Cine, Amazonía Films</v>
          </cell>
          <cell r="J231" t="str">
            <v>4.02.07.99.00 Otros productos minerales no metálicos</v>
          </cell>
        </row>
        <row r="232">
          <cell r="D232" t="str">
            <v>A0455 Fundación Escuela Venezolana de Planificación</v>
          </cell>
          <cell r="J232" t="str">
            <v>4.02.08.00.00 Productos metálicos</v>
          </cell>
        </row>
        <row r="233">
          <cell r="D233" t="str">
            <v>A0456 Fundación Misión Madres del Barrio Josefa Joaquina Sánchez</v>
          </cell>
          <cell r="J233" t="str">
            <v>4.02.08.01.00 Productos primarios de hierro y acero</v>
          </cell>
        </row>
        <row r="234">
          <cell r="D234" t="str">
            <v>A0457 Fundación de Edificaciones y Equipamiento Hospitalario (FUNDEEH)</v>
          </cell>
          <cell r="J234" t="str">
            <v>4.02.08.02.00 Productos de metales no ferrosos</v>
          </cell>
        </row>
        <row r="235">
          <cell r="D235" t="str">
            <v>A0458 Fundación Centro Nacionale de Innovación Tecnológica (CENIT)</v>
          </cell>
          <cell r="J235" t="str">
            <v>4.02.08.03.00 Herramientas menores, cuchillería y artículos generales de ferretería</v>
          </cell>
        </row>
        <row r="236">
          <cell r="D236" t="str">
            <v>A0459 Fundación Red de Arte</v>
          </cell>
          <cell r="J236" t="str">
            <v>4.02.08.04.00 Productos metálicos estructurales</v>
          </cell>
        </row>
        <row r="237">
          <cell r="D237" t="str">
            <v>A0460 Fundación Misión Milagro</v>
          </cell>
          <cell r="J237" t="str">
            <v>4.02.08.05.00 Materiales de orden público, seguridad y defensa</v>
          </cell>
        </row>
        <row r="238">
          <cell r="D238" t="str">
            <v>A0461 Fundación Centro Nacional de Desarrollo e Investigación en Tecnologías Libres (CENDITEL)</v>
          </cell>
          <cell r="J238" t="str">
            <v>4.02.08.07.00 Material de señalamiento</v>
          </cell>
        </row>
        <row r="239">
          <cell r="D239" t="str">
            <v>A0462 Fundación Imprenta de la Cultura</v>
          </cell>
          <cell r="J239" t="str">
            <v>4.02.08.08.00 Material de educación</v>
          </cell>
        </row>
        <row r="240">
          <cell r="D240" t="str">
            <v>A0463 Fundación Banco de Comercio Exterior (FUNDABANCOEX)</v>
          </cell>
          <cell r="J240" t="str">
            <v>4.02.08.09.00 Repuestos y accesorios para equipos de transporte</v>
          </cell>
        </row>
        <row r="241">
          <cell r="D241" t="str">
            <v>A0464 Fundación Infocentro</v>
          </cell>
          <cell r="J241" t="str">
            <v>4.02.08.10.00 Repuestos y accesorios para otros equipos</v>
          </cell>
        </row>
        <row r="242">
          <cell r="D242" t="str">
            <v>A0465 Fundación de Capacitación e Innovación para Apoyar la Revolución Agraria (CIARA)</v>
          </cell>
          <cell r="J242" t="str">
            <v>4.02.08.99.00 Otros productos metálicos</v>
          </cell>
        </row>
        <row r="243">
          <cell r="D243" t="str">
            <v xml:space="preserve">A0466 Fundación Dr. Alejandro Próspero Reverend </v>
          </cell>
          <cell r="J243" t="str">
            <v>4.02.09.00.00 Productos de madera</v>
          </cell>
        </row>
        <row r="244">
          <cell r="D244" t="str">
            <v>A0468 Fundación Televisora Venezolana Social (TVES)</v>
          </cell>
          <cell r="J244" t="str">
            <v>4.02.09.01.00 Productos primarios de madera</v>
          </cell>
        </row>
        <row r="245">
          <cell r="D245" t="str">
            <v>A0469 Fundación Centro Nacional del Disco (CENDIS)</v>
          </cell>
          <cell r="J245" t="str">
            <v>4.02.09.02.00 Muebles y accesorios de madera para edificaciones</v>
          </cell>
        </row>
        <row r="246">
          <cell r="D246" t="str">
            <v>A0474 Fundación Nacional Premio Nacional de Periodismo</v>
          </cell>
          <cell r="J246" t="str">
            <v>4.02.09.99.00 Otros productos de madera</v>
          </cell>
        </row>
        <row r="247">
          <cell r="D247" t="str">
            <v xml:space="preserve">A0477 Fundación Colombeia </v>
          </cell>
          <cell r="J247" t="str">
            <v>4.02.10.00.00 Productos varios y útiles diversos</v>
          </cell>
        </row>
        <row r="248">
          <cell r="D248" t="str">
            <v>A0479 Fundación para la Atención Integral de Atletasde Alto Rendimiento en Situación de Retiro y Ex-Atletas Jóvenes, Adultos(as) y Adultos (as) Mayores (FUNDAEXAR)</v>
          </cell>
          <cell r="J248" t="str">
            <v>4.02.10.01.00 Artículos de deporte, recreación y juguetes</v>
          </cell>
        </row>
        <row r="249">
          <cell r="D249" t="str">
            <v xml:space="preserve">A0480 Fundación Misión Negra Hipólita </v>
          </cell>
          <cell r="J249" t="str">
            <v>4.02.10.02.00 Materiales y útiles de limpieza y aseo</v>
          </cell>
        </row>
        <row r="250">
          <cell r="D250" t="str">
            <v>A0484 Fundación Nacional El Niño Simón</v>
          </cell>
          <cell r="J250" t="str">
            <v>4.02.10.03.00 Utensilios de cocina y comedor</v>
          </cell>
        </row>
        <row r="251">
          <cell r="D251" t="str">
            <v>A0485 Fundación de Cardiología Integral (FUNDACARDIN)</v>
          </cell>
          <cell r="J251" t="str">
            <v>4.02.10.04.00 Útiles menores médico - quirúrgicos de laboratorio, dentales y de veterinaria</v>
          </cell>
        </row>
        <row r="252">
          <cell r="D252" t="str">
            <v>A0486 Fundación Centro Nacional de la Historia</v>
          </cell>
          <cell r="J252" t="str">
            <v>4.02.10.05.00 Útiles de escritorio, oficina y materiales de instrucción</v>
          </cell>
        </row>
        <row r="253">
          <cell r="D253" t="str">
            <v>A0487 Fundación Gran Misión Saber y Trabajo</v>
          </cell>
          <cell r="J253" t="str">
            <v>4.02.10.06.00 Condecoraciones, ofrendas y similares</v>
          </cell>
        </row>
        <row r="254">
          <cell r="D254" t="str">
            <v>A0490 Fundación Ávila TV</v>
          </cell>
          <cell r="J254" t="str">
            <v>4.02.10.07.00 Productos de seguridad en el trabajo</v>
          </cell>
        </row>
        <row r="255">
          <cell r="D255" t="str">
            <v>A0491 Fundación Escuela Metropolitana de Formación Ciudadana "Simón Rodríguez" (FEMFOC)</v>
          </cell>
          <cell r="J255" t="str">
            <v>4.02.10.08.00 Materiales para equipos de computación</v>
          </cell>
        </row>
        <row r="256">
          <cell r="D256" t="str">
            <v>A0493 Fundación Banda Marcial Caracas</v>
          </cell>
          <cell r="J256" t="str">
            <v>4.02.10.09.00 Especies timbradas y valores</v>
          </cell>
        </row>
        <row r="257">
          <cell r="D257" t="str">
            <v>A0494 Fundación para el Desarrollo Endógeno
Comunal Agroalimentario Fundeca Yerba
Caracas</v>
          </cell>
          <cell r="J257" t="str">
            <v>4.02.10.10.00 Útiles religiosos</v>
          </cell>
        </row>
        <row r="258">
          <cell r="D258" t="str">
            <v>A0495 Fundación Vivienda del Distrito Capital</v>
          </cell>
          <cell r="J258" t="str">
            <v>4.02.10.11.00 Materiales eléctricos</v>
          </cell>
        </row>
        <row r="259">
          <cell r="D259" t="str">
            <v>A0498 Fundación para la Asitencia Social de la Policía Metropolitana (FUNDAPOL)</v>
          </cell>
          <cell r="J259" t="str">
            <v>4.02.10.12.00 Materiales para instalaciones sanitarias</v>
          </cell>
        </row>
        <row r="260">
          <cell r="D260" t="str">
            <v>A0507 Fundación Conciencia Televisión</v>
          </cell>
          <cell r="J260" t="str">
            <v>4.02.10.13.00 Materiales fotográficos</v>
          </cell>
        </row>
        <row r="261">
          <cell r="D261" t="str">
            <v>A0510 Canteras del Distrito Capital, C.A</v>
          </cell>
          <cell r="J261" t="str">
            <v>4.02.10.99.00 Otros productos y útiles diversos</v>
          </cell>
        </row>
        <row r="262">
          <cell r="D262" t="str">
            <v>A0511 Región Estratégica de Desarrollo Integral Marítima e Insular</v>
          </cell>
          <cell r="J262" t="str">
            <v>4.02.11.00.00 Bienes para la venta</v>
          </cell>
        </row>
        <row r="263">
          <cell r="D263" t="str">
            <v>A0512 Región Estratégica de Desarrollo Integral Occidental</v>
          </cell>
          <cell r="J263" t="str">
            <v>4.02.11.01.00 Productos y artículos para la venta</v>
          </cell>
        </row>
        <row r="264">
          <cell r="D264" t="str">
            <v>A0513 Región Estratégica de Desarrollo Integral Oriental</v>
          </cell>
          <cell r="J264" t="str">
            <v>4.02.11.02.00 Maquinarias y equipos para la venta</v>
          </cell>
        </row>
        <row r="265">
          <cell r="D265" t="str">
            <v>A0514 Región Estratégica de Desarrollo Integral Los Llanos</v>
          </cell>
          <cell r="J265" t="str">
            <v>4.02.11.99.00 Otros bienes para la venta</v>
          </cell>
        </row>
        <row r="266">
          <cell r="D266" t="str">
            <v>A0515 Fundación Müröntö: Centro de Innovación para el Desarrollo</v>
          </cell>
          <cell r="J266" t="str">
            <v>4.02.99.00.00 Otros materiales y suministros</v>
          </cell>
        </row>
        <row r="267">
          <cell r="D267" t="str">
            <v>A0516 Región Estratégica de Desarrollo Integral Guayana</v>
          </cell>
          <cell r="J267" t="str">
            <v>4.02.99.01.00 Otros materiales y suministros</v>
          </cell>
        </row>
        <row r="268">
          <cell r="D268" t="str">
            <v>A0517 Fundación de Desarrollo Nacional Aeroportuario y Portuario (FUNDENAP)</v>
          </cell>
          <cell r="J268" t="str">
            <v>4.03.00.00.00 SERVICIOS NO PERSONALES</v>
          </cell>
        </row>
        <row r="269">
          <cell r="D269" t="str">
            <v>A0519 Región Estratégica de Desarrollo Integral Los Andes</v>
          </cell>
          <cell r="J269" t="str">
            <v>4.03.01.00.00 Alquileres de inmuebles</v>
          </cell>
        </row>
        <row r="270">
          <cell r="D270" t="str">
            <v>A0521 Corporación para la Construcción y Gestión de Urbanismos del Distrito Capital, S.A. (CORPOCAPITAL, S.A.)</v>
          </cell>
          <cell r="J270" t="str">
            <v>4.03.01.01.00 Alquileres de edificios y locales</v>
          </cell>
        </row>
        <row r="271">
          <cell r="D271" t="str">
            <v>A0522 Corporación Industrial para la Energía Eléctrica, S.A (Corpoelec Industrial)</v>
          </cell>
          <cell r="J271" t="str">
            <v>4.03.01.02.00 Alquileres de instalaciones culturales y recreativas</v>
          </cell>
        </row>
        <row r="272">
          <cell r="D272" t="str">
            <v>A0523 Región Estratégica de Desarrollo Integral Central</v>
          </cell>
          <cell r="J272" t="str">
            <v>4.03.01.03.00 Alquileres de tierras y terrenos</v>
          </cell>
        </row>
        <row r="273">
          <cell r="D273" t="str">
            <v>A0524 Corporación Venezolana de la Juventud Productora, S.A.
(Corpojuventud, S.A.)</v>
          </cell>
          <cell r="J273" t="str">
            <v>4.03.02.00.00 Alquileres de maquinaria y equipos</v>
          </cell>
        </row>
        <row r="274">
          <cell r="D274" t="str">
            <v>A0529 Conglomerado Productivo, S.A.</v>
          </cell>
          <cell r="J274" t="str">
            <v>4.03.02.01.00 Alquileres de maquinaria y demás equipos de construcción, campo, industria y taller</v>
          </cell>
        </row>
        <row r="275">
          <cell r="D275" t="str">
            <v>A0530 Fondo de Inversión Misión Negro Primero, S.A.</v>
          </cell>
          <cell r="J275" t="str">
            <v>4.03.02.02.00 Alquileres de equipos de transporte, tracción y elevación</v>
          </cell>
        </row>
        <row r="276">
          <cell r="D276" t="str">
            <v>A0535 Fundación Mundo de los Niños (FUNDANIÑOS)</v>
          </cell>
          <cell r="J276" t="str">
            <v>4.03.02.03.00 Alquileres de equipos de comunicaciones y de señalamiento</v>
          </cell>
        </row>
        <row r="277">
          <cell r="D277" t="str">
            <v>A0536 Fundación Bosque Macuto</v>
          </cell>
          <cell r="J277" t="str">
            <v>4.03.02.04.00 Alquileres de equipos médico - quirúrgicos, dentales y de veterinaria</v>
          </cell>
        </row>
        <row r="278">
          <cell r="D278" t="str">
            <v>A0538 Instituto Nacional contra la Discriminación Racial</v>
          </cell>
          <cell r="J278" t="str">
            <v>4.03.02.05.00 Alquileres de equipos científicos, religiosos, de enseñanza y recreación</v>
          </cell>
        </row>
        <row r="279">
          <cell r="D279" t="str">
            <v>A0539 Fundación Movimiento Nacional de Teatro para Niñas, Niños y Jóvenes, César Rengifo</v>
          </cell>
          <cell r="J279" t="str">
            <v>4.03.02.06.00 Alquileres de máquinas, muebles y demás equipos de oficina y alojamiento</v>
          </cell>
        </row>
        <row r="280">
          <cell r="D280" t="str">
            <v>A0540 Fundación Misión José Gregorio Hernández</v>
          </cell>
          <cell r="J280" t="str">
            <v>4.03.02.99.00 Alquileres de otras maquinaria y equipos</v>
          </cell>
        </row>
        <row r="281">
          <cell r="D281" t="str">
            <v>A0541 Fundación Gran Misión Barrio Nuevo Barrio Tricolor</v>
          </cell>
          <cell r="J281" t="str">
            <v>4.03.03.00.00 Derechos sobre bienes intangibles</v>
          </cell>
        </row>
        <row r="282">
          <cell r="D282" t="str">
            <v>A0542 Fundación Misión Nevado</v>
          </cell>
          <cell r="J282" t="str">
            <v>4.03.03.01.00 Marcas de fábrica y patentes de invención</v>
          </cell>
        </row>
        <row r="283">
          <cell r="D283" t="str">
            <v>A0543 Corporación Nacional de Insumos para la Salud, S.A (CONSALUD)</v>
          </cell>
          <cell r="J283" t="str">
            <v>4.03.03.02.00 Derechos de autor</v>
          </cell>
        </row>
        <row r="284">
          <cell r="D284" t="str">
            <v>A0545 Fundación Flor de Venezuela</v>
          </cell>
          <cell r="J284" t="str">
            <v>4.03.03.03.00 Paquetes y programas de computación</v>
          </cell>
        </row>
        <row r="285">
          <cell r="D285" t="str">
            <v>A0552 Telesur Venezuela, C.A</v>
          </cell>
          <cell r="J285" t="str">
            <v>4.03.03.04.00 Concesión de bienes y servicios</v>
          </cell>
        </row>
        <row r="286">
          <cell r="D286" t="str">
            <v>A0553 Auntoridad Únidad del Distrito Motor de Desarrollo Ciudad Caribia</v>
          </cell>
          <cell r="J286" t="str">
            <v>4.03.04.00.00 Servicios básicos</v>
          </cell>
        </row>
        <row r="287">
          <cell r="D287" t="str">
            <v>A0554 Servicio Nacional para el Desarme</v>
          </cell>
          <cell r="J287" t="str">
            <v>4.03.04.01.00 Electricidad</v>
          </cell>
        </row>
        <row r="288">
          <cell r="D288" t="str">
            <v>A0555 Instituto de Altos Estudios del Pensamiento del Comandante Supremo Hugo Rafael Chávez Frías</v>
          </cell>
          <cell r="J288" t="str">
            <v>4.03.04.02.00 Gas</v>
          </cell>
        </row>
        <row r="289">
          <cell r="D289" t="str">
            <v>A0557 Fundación Venezolana de Donaciones y Transplante de Órganos, Tejidos y Células (FUNDAVENE)</v>
          </cell>
          <cell r="J289" t="str">
            <v>4.03.04.03.00 Agua</v>
          </cell>
        </row>
        <row r="290">
          <cell r="D290" t="str">
            <v>A0560 Empresa Socialista para la Producción de Medicamentos Biológicos, C.A (ESPROMED BIO)</v>
          </cell>
          <cell r="J290" t="str">
            <v>4.03.04.04.00 Teléfonos</v>
          </cell>
        </row>
        <row r="291">
          <cell r="D291" t="str">
            <v>A0563 Autoridad Únicade Área para el Estado Carabobo "Ciudad Hugo Chávez"</v>
          </cell>
          <cell r="J291" t="str">
            <v>4.03.04.04.01 Servicios de telefonía prestados por organismos públicos</v>
          </cell>
        </row>
        <row r="292">
          <cell r="D292" t="str">
            <v>A0564 Agencia Venezolana de Publicidad AVP, S.A</v>
          </cell>
          <cell r="J292" t="str">
            <v>4.03.04.05.00 Servicio de comunicaciones</v>
          </cell>
        </row>
        <row r="293">
          <cell r="D293" t="str">
            <v>A0565 Universidad Politécnico Territorial de los Altos Mirandinos "Cecilio Acosta"</v>
          </cell>
          <cell r="J293" t="str">
            <v>4.03.04.06.00 Servicio de aseo urbano y domiciliario</v>
          </cell>
        </row>
        <row r="294">
          <cell r="D294" t="str">
            <v>A0571 Corporación Nacional de Alimentación Escolar CNAE, S.A.</v>
          </cell>
          <cell r="J294" t="str">
            <v>4.03.04.07.00 Servicio de condominio</v>
          </cell>
        </row>
        <row r="295">
          <cell r="D295" t="str">
            <v>A0572 Productos Farmacéuticos para el Vivir Viviendo, C.A. (PROFARMACOS, C.A.)</v>
          </cell>
          <cell r="J295" t="str">
            <v>4.03.05.00.00 Servicio de administración, vigilancia y mantenimiento de los servicios básicos</v>
          </cell>
        </row>
        <row r="296">
          <cell r="D296" t="str">
            <v xml:space="preserve">A0582 Corporación de Turismo Insular Miranda, C.A. </v>
          </cell>
          <cell r="J296" t="str">
            <v>4.03.05.01.00 Servicio de administración, vigilancia y mantenimiento del servicio de electricidad</v>
          </cell>
        </row>
        <row r="297">
          <cell r="D297" t="str">
            <v>A0586 Fundación Regional el Niño Simón, Territorio Insular Francisco de Miranda (FUNSIMIR)</v>
          </cell>
          <cell r="J297" t="str">
            <v>4.03.05.02.00 Servicio de administración, vigilancia y mantenimiento del servicio de gas</v>
          </cell>
        </row>
        <row r="298">
          <cell r="D298" t="str">
            <v>A0589 Fundación Movimiento por La Paz y La Vida</v>
          </cell>
          <cell r="J298" t="str">
            <v>4.03.05.03.00 Servicio de administración, vigilancia y mantenimiento del servicio de agua</v>
          </cell>
        </row>
        <row r="299">
          <cell r="D299" t="str">
            <v>A0597 Planta de Autobuses Yutong Venezuela, S.A</v>
          </cell>
          <cell r="J299" t="str">
            <v>4.03.05.04.00 Servicio de administración, vigilancia y mantenimiento del servicio de teléfonos</v>
          </cell>
        </row>
        <row r="300">
          <cell r="D300" t="str">
            <v>A0605 C.A. Hidrológica de Falcón (HIDROFALCON)</v>
          </cell>
          <cell r="J300" t="str">
            <v>4.03.05.05.00 Servicio de administración, vigilancia y mantenimiento del servicio de comunicaciones</v>
          </cell>
        </row>
        <row r="301">
          <cell r="D301" t="str">
            <v>A0606 C.A. Hidrológica de Venezuela (Hidroven)</v>
          </cell>
          <cell r="J301" t="str">
            <v>4.03.05.06.00 Servicio de administración, vigilancia y mantenimiento del servicio de aseo urbano y domiciliario</v>
          </cell>
        </row>
        <row r="302">
          <cell r="D302" t="str">
            <v>A0608 C.A Venezolana de Televisión (VTV)</v>
          </cell>
          <cell r="J302" t="str">
            <v>4.03.06.00.00 Servicios de transporte y almacenaje</v>
          </cell>
        </row>
        <row r="303">
          <cell r="D303" t="str">
            <v>A0609 C.A. Hidrológica de la Región Capital (HIDROCAPITAL)</v>
          </cell>
          <cell r="J303" t="str">
            <v>4.03.06.01.00 Fletes y embalajes</v>
          </cell>
        </row>
        <row r="304">
          <cell r="D304" t="str">
            <v>A0610 Compañía Anónima Venezolana de Industrias Militares (CAVIM)</v>
          </cell>
          <cell r="J304" t="str">
            <v>4.03.06.02.00 Almacenaje</v>
          </cell>
        </row>
        <row r="305">
          <cell r="D305" t="str">
            <v>A0611 C.A. Hidrológica del Caribe (HIDROCARIBE)</v>
          </cell>
          <cell r="J305" t="str">
            <v>4.03.06.03.00 Estacionamiento</v>
          </cell>
        </row>
        <row r="306">
          <cell r="D306" t="str">
            <v>A0613 C.A. Hidrológica de la Región Suroeste (HIDROSUROESTE)</v>
          </cell>
          <cell r="J306" t="str">
            <v>4.03.06.04.00 Peaje</v>
          </cell>
        </row>
        <row r="307">
          <cell r="D307" t="str">
            <v>A0615 C.A. Hidrológica Páez (Hidropaez)</v>
          </cell>
          <cell r="J307" t="str">
            <v>4.03.06.05.00 Servicios de protección en traslado de fondos y de mensajería</v>
          </cell>
        </row>
        <row r="308">
          <cell r="D308" t="str">
            <v>A0616 C.A. Hidrológica de los Llanos (Hidrollanos)</v>
          </cell>
          <cell r="J308" t="str">
            <v>4.03.07.00.00 Servicios de información, impresión y relaciones públicas</v>
          </cell>
        </row>
        <row r="309">
          <cell r="D309" t="str">
            <v>A0619 C.A. Hidrológica del Lago de Maracaibo (HIDROLAGO)</v>
          </cell>
          <cell r="J309" t="str">
            <v>4.03.07.01.00 Publicidad y propaganda</v>
          </cell>
        </row>
        <row r="310">
          <cell r="D310" t="str">
            <v>A0621 C.A. Metro de Caracas (CAMETRO)</v>
          </cell>
          <cell r="J310" t="str">
            <v>4.03.07.02.00 Imprenta y reproducción</v>
          </cell>
        </row>
        <row r="311">
          <cell r="D311" t="str">
            <v>A0622 C.A. Hidrológica del Centro (HIDROCENTRO)</v>
          </cell>
          <cell r="J311" t="str">
            <v>4.03.07.03.00 Relaciones sociales</v>
          </cell>
        </row>
        <row r="312">
          <cell r="D312" t="str">
            <v>A0636 Centro Rafael Urdaneta, S.A.</v>
          </cell>
          <cell r="J312" t="str">
            <v>4.03.07.04.00 Avisos</v>
          </cell>
        </row>
        <row r="313">
          <cell r="D313" t="str">
            <v>A0639 Compañía Nacional de Reforestación (Conare)</v>
          </cell>
          <cell r="J313" t="str">
            <v>4.03.08.00.00 Primas y otros gastos de seguros y comisiones bancarias</v>
          </cell>
        </row>
        <row r="314">
          <cell r="D314" t="str">
            <v>A0641 Corporación de Abastecimiento y Servicios Agrícolas, S.A (LA CASA)</v>
          </cell>
          <cell r="J314" t="str">
            <v>4.03.08.01.00 Primas y gastos de seguros</v>
          </cell>
        </row>
        <row r="315">
          <cell r="D315" t="str">
            <v>A0651 C.A. Metro de Valencia (VALMETRO)</v>
          </cell>
          <cell r="J315" t="str">
            <v>4.03.08.02.00 Comisiones y gastos bancarios</v>
          </cell>
        </row>
        <row r="316">
          <cell r="D316" t="str">
            <v>A0653 Corporación para la Zona Libre para el Fomento de la Inversión Turística de la Península de Paraguana, (CORPOTULIPA)</v>
          </cell>
          <cell r="J316" t="str">
            <v>4.03.08.03.00 Comisiones y gastos de adquisición de seguros</v>
          </cell>
        </row>
        <row r="317">
          <cell r="D317" t="str">
            <v>A0658 Instituto Aeropuerto Internacional de Maiquetía (IAIM)</v>
          </cell>
          <cell r="J317" t="str">
            <v>4.03.09.00.00 Viáticos y pasajes</v>
          </cell>
        </row>
        <row r="318">
          <cell r="D318" t="str">
            <v>A0659 Instituto de Ferrocarriles del Estado (IFE)</v>
          </cell>
          <cell r="J318" t="str">
            <v>4.03.09.01.00 Viáticos y pasajes dentro del país</v>
          </cell>
        </row>
        <row r="319">
          <cell r="D319" t="str">
            <v>A0660 Instituto Postal Telegráfico de Venezuela (IPOSTEL)</v>
          </cell>
          <cell r="J319" t="str">
            <v>4.03.09.02.00 Viáticos y pasajes fuera del país</v>
          </cell>
        </row>
        <row r="320">
          <cell r="D320" t="str">
            <v>A0661 Instituto Nacional de Canalizaciones (INC)</v>
          </cell>
          <cell r="J320" t="str">
            <v>4.03.09.03.00 Asignación por kilómetros recorridos</v>
          </cell>
        </row>
        <row r="321">
          <cell r="D321" t="str">
            <v>A0662 Instituto Nacional de Vivienda (INAVI)</v>
          </cell>
          <cell r="J321" t="str">
            <v>4.03.10.00.00 Servicios profesionales y técnicos</v>
          </cell>
        </row>
        <row r="322">
          <cell r="D322" t="str">
            <v>A0663 Instituto Nacional de Hipódromos (INH)</v>
          </cell>
          <cell r="J322" t="str">
            <v>4.03.10.01.00 Servicios jurídicos</v>
          </cell>
        </row>
        <row r="323">
          <cell r="D323" t="str">
            <v>A0675 Promotora del Desarrollo Urbano de la Región Zuliana, C.A. (Produzca)</v>
          </cell>
          <cell r="J323" t="str">
            <v>4.03.10.02.00 Servicios de contabilidad y auditoría</v>
          </cell>
        </row>
        <row r="324">
          <cell r="D324" t="str">
            <v>A0678 Sistema Hidráulico Yacambú Quíbor, C.A.</v>
          </cell>
          <cell r="J324" t="str">
            <v>4.03.10.03.00 Servicios de procesamiento de datos</v>
          </cell>
        </row>
        <row r="325">
          <cell r="D325" t="str">
            <v>A0685 C.A. Hidrológica de la Cordillera Andina (Hidroandes)</v>
          </cell>
          <cell r="J325" t="str">
            <v>4.03.10.04.00 Servicios de ingeniería y arquitectónicos</v>
          </cell>
        </row>
        <row r="326">
          <cell r="D326" t="str">
            <v>A0696 Empresa Regional Sistema Hidráulico Trujillano, S.A.</v>
          </cell>
          <cell r="J326" t="str">
            <v>4.03.10.05.00 Servicios médicos, odontológicos y otros servicios de sanidad</v>
          </cell>
        </row>
        <row r="327">
          <cell r="D327" t="str">
            <v>A0697 Empresa Regional Desarrollos Hidraúlicos Cojedes, C.A.</v>
          </cell>
          <cell r="J327" t="str">
            <v>4.03.10.06.00 Servicios de veterinaria</v>
          </cell>
        </row>
        <row r="328">
          <cell r="D328" t="str">
            <v>A0711 Banco Nacional de Vivienda y Hábitat (BANAVIH)</v>
          </cell>
          <cell r="J328" t="str">
            <v>4.03.10.07.00 Servicios de capacitación y adiestramiento</v>
          </cell>
        </row>
        <row r="329">
          <cell r="D329" t="str">
            <v>A0806 Fondo de Protección Social de los Depósitos Bancarios (FOGADE)</v>
          </cell>
          <cell r="J329" t="str">
            <v>4.03.10.08.00 Servicios presupuestarios</v>
          </cell>
        </row>
        <row r="330">
          <cell r="D330" t="str">
            <v>A0818 Sociedad Civil para el Control de Enfermedades Endémicas y Asistencia Indígena, Estado Bolívar (CENSAI BOLÍVAR)</v>
          </cell>
          <cell r="J330" t="str">
            <v>4.03.10.09.00 Servicios de lavandería y tintorería</v>
          </cell>
        </row>
        <row r="331">
          <cell r="D331" t="str">
            <v>A0820 Empresa Regional Sistema Hidráulico Planicie de Maracaibo (Planimara)</v>
          </cell>
          <cell r="J331" t="str">
            <v>4.03.10.10.00 Servicios de vigilancia</v>
          </cell>
        </row>
        <row r="332">
          <cell r="D332" t="str">
            <v>A0821 Centro Naciona Autónomo de Cinematografía (CNAC)</v>
          </cell>
          <cell r="J332" t="str">
            <v>4.03.10.11.00 Servicios para la elaboración y suministro de comida</v>
          </cell>
        </row>
        <row r="333">
          <cell r="D333" t="str">
            <v>A0828 Servicio Autónomo de la Propiedad Intelectual (SAPI)</v>
          </cell>
          <cell r="J333" t="str">
            <v>4.03.10.99.00 Otros servicios profesionales y técnicos</v>
          </cell>
        </row>
        <row r="334">
          <cell r="D334" t="str">
            <v>A0829 Centro Nacional del Libro (CNL)</v>
          </cell>
          <cell r="J334" t="str">
            <v>4.03.11.00.00 Conservación y reparaciones menores de maquinaria y equipos</v>
          </cell>
        </row>
        <row r="335">
          <cell r="D335" t="str">
            <v>A0830 Servicio Coordinado de Transporte Aéreo del Ejecutivo Nacional (SATA)</v>
          </cell>
          <cell r="J335" t="str">
            <v>4.03.11.01.00 Conservación y reparaciones menores de maquinaria y demás equipos de construcción, campo, industria y taller</v>
          </cell>
        </row>
        <row r="336">
          <cell r="D336" t="str">
            <v>A0838 Monteavila Editores Latinoamerica, C.A.</v>
          </cell>
          <cell r="J336" t="str">
            <v>4.03.11.02.00 Conservación y reparaciones menores de equipos de transporte, tracción y elevación</v>
          </cell>
        </row>
        <row r="337">
          <cell r="D337" t="str">
            <v>A0842 Fondo de Desarrollo Microfinanciero (FONDEMI)</v>
          </cell>
          <cell r="J337" t="str">
            <v>4.03.11.03.00 Conservación y reparaciones menores de equipos de comunicaciones y de señalamiento</v>
          </cell>
        </row>
        <row r="338">
          <cell r="D338" t="str">
            <v>A0844 Instituto Socialista de la Pesca y la Agricultura (INSOPESCA)</v>
          </cell>
          <cell r="J338" t="str">
            <v>4.03.11.04.00 Conservación y reparaciones menores de equipos médicoquirúrgicos, dentales y de veterinaria</v>
          </cell>
        </row>
        <row r="339">
          <cell r="D339" t="str">
            <v>A0846 Instituto Nacional de Desarrollo para la Pequeña y Mediana Industria (INAPYMI)</v>
          </cell>
          <cell r="J339" t="str">
            <v>4.03.11.05.00 Conservación y reparaciones menores de equipos científicos, religiosos, de enseñanza y recreación</v>
          </cell>
        </row>
        <row r="340">
          <cell r="D340" t="str">
            <v>A0900 Ente Nacional del Gas (ENAGAS)</v>
          </cell>
          <cell r="J340" t="str">
            <v>4.03.11.06.00 Conservación y reparaciones menores de equipos y armamentos de orden público, seguridad y defensa nacional</v>
          </cell>
        </row>
        <row r="341">
          <cell r="D341" t="str">
            <v>A0906 Servicio Autónomo Superintendencia Nacional de Actividades Hípicas (SUNAHIP)</v>
          </cell>
          <cell r="J341" t="str">
            <v>4.03.11.07.00 Conservación y reparaciones menores de máquinas, muebles y demás equipos de oficina y alojamiento</v>
          </cell>
        </row>
        <row r="342">
          <cell r="D342" t="str">
            <v>A0907 Servicio Autónomo Instituto de Alto Estudios "Dr. Arnoldo Gabaldón"</v>
          </cell>
          <cell r="J342" t="str">
            <v>4.03.11.99.00 Conservación y reparaciones menores de otras maquinaria y equipos</v>
          </cell>
        </row>
        <row r="343">
          <cell r="D343" t="str">
            <v>A0908 Servicio Nacional de Contrataciones</v>
          </cell>
          <cell r="J343" t="str">
            <v>4.03.12.00.00 Conservación y reparaciones menores de obras</v>
          </cell>
        </row>
        <row r="344">
          <cell r="D344" t="str">
            <v>A0909 Instituto Geográfico de Venezuela "Simón Bolívar"</v>
          </cell>
          <cell r="J344" t="str">
            <v>4.03.12.01.00 Conservación y reparaciones menores de obras en bienes del dominio privado</v>
          </cell>
        </row>
        <row r="345">
          <cell r="D345" t="str">
            <v>A0910 Instituto Autónomo Consejo Nacional de Derechos de Niños, Niñas y Adolescentes (IDENNA)</v>
          </cell>
          <cell r="J345" t="str">
            <v>4.03.12.02.00 Conservación y reparaciones menores de obras en bienes del dominio público</v>
          </cell>
        </row>
        <row r="346">
          <cell r="D346" t="str">
            <v>A0911 Academia Nacional de Ingeniería y el Hábitat</v>
          </cell>
          <cell r="J346" t="str">
            <v>4.03.13.00.00 Servicios de construcciones temporales</v>
          </cell>
        </row>
        <row r="347">
          <cell r="D347" t="str">
            <v>A0912 Universidad Nacional Experimental Marítima del Caribe (UNEMC)</v>
          </cell>
          <cell r="J347" t="str">
            <v>4.03.13.01.00 Servicios de construcciones temporales</v>
          </cell>
        </row>
        <row r="348">
          <cell r="D348" t="str">
            <v>A0925 Instituto Universitario de Tecnología del Estado Bolívar</v>
          </cell>
          <cell r="J348" t="str">
            <v>4.03.14.00.00 Servicios de construcción de edificios para la venta</v>
          </cell>
        </row>
        <row r="349">
          <cell r="D349" t="str">
            <v>A0927 Fondo Venezolano de Reconversión Industrial y Tecnológica (FONDOIN)</v>
          </cell>
          <cell r="J349" t="str">
            <v>4.03.14.01.00 Servicios de construcción de edificios para la venta</v>
          </cell>
        </row>
        <row r="350">
          <cell r="D350" t="str">
            <v>A0929 Fondo Nacional de Ciencia, Tecnología e Innovación (FONACIT)</v>
          </cell>
          <cell r="J350" t="str">
            <v>4.03.15.00.00 Servicios fiscales</v>
          </cell>
        </row>
        <row r="351">
          <cell r="D351" t="str">
            <v>A0931 Instituto Autónomo Consejo Nacional de Derechos de Niños, Niñas y Adolescentes (FNPNNA)</v>
          </cell>
          <cell r="J351" t="str">
            <v>4.03.15.01.00 Derechos de importación y servicios aduaneros</v>
          </cell>
        </row>
        <row r="352">
          <cell r="D352" t="str">
            <v>A0932 Instituto Nacional de los Espacios Acuáticos (INEA)</v>
          </cell>
          <cell r="J352" t="str">
            <v>4.03.15.02.00 Tasas y otros derechos obligatorios</v>
          </cell>
        </row>
        <row r="353">
          <cell r="D353" t="str">
            <v>A0933 Instituto Nacional de Desarrollo Rural (INDER)</v>
          </cell>
          <cell r="J353" t="str">
            <v>4.03.15.03.00 Asignación a agentes de especies fiscales</v>
          </cell>
        </row>
        <row r="354">
          <cell r="D354" t="str">
            <v>A0935 Instituto Nacional de Tierras (INTI)</v>
          </cell>
          <cell r="J354" t="str">
            <v>4.03.15.99.00 Otros servicios fiscales</v>
          </cell>
        </row>
        <row r="355">
          <cell r="D355" t="str">
            <v>A0936 Instituto Nacional de la Mujer (INAMUJER)</v>
          </cell>
          <cell r="J355" t="str">
            <v>4.03.16.00.00 Servicios de diversión, esparcimiento y culturales</v>
          </cell>
        </row>
        <row r="356">
          <cell r="D356" t="str">
            <v>A0937 Superintendencia de Servicios de Certificación Electrónica (SUSCRETE)</v>
          </cell>
          <cell r="J356" t="str">
            <v>4.03.16.01.00 Servicios de diversión, esparcimiento y culturales</v>
          </cell>
        </row>
        <row r="357">
          <cell r="D357" t="str">
            <v>A0938 Instituto Nacional del Poder Popular de la Juventud</v>
          </cell>
          <cell r="J357" t="str">
            <v>4.03.17.00.00 Servicios de gestión administrativa prestados por organismos de asistencia técnica</v>
          </cell>
        </row>
        <row r="358">
          <cell r="D358" t="str">
            <v>A0939 Instituto Nacional de Aeronáutica Civil (INAC)</v>
          </cell>
          <cell r="J358" t="str">
            <v>4.03.17.01.00 Servicios de gestión administrativa prestados por organismos de asistencia técnica</v>
          </cell>
        </row>
        <row r="359">
          <cell r="D359" t="str">
            <v>A0940 Instituto Nacional de Transporte Terrestre (INTT)</v>
          </cell>
          <cell r="J359" t="str">
            <v>4.03.18.00.00 Impuestos indirectos</v>
          </cell>
        </row>
        <row r="360">
          <cell r="D360" t="str">
            <v>A0942 Universidad Bolivariana de Venezuela (UBV)</v>
          </cell>
          <cell r="J360" t="str">
            <v>4.03.18.01.00 Impuesto al valor agregado</v>
          </cell>
        </row>
        <row r="361">
          <cell r="D361" t="str">
            <v>A0943 Colegio Universitario "Hotel Escuela de Los Andes Venezolanos"</v>
          </cell>
          <cell r="J361" t="str">
            <v>4.03.18.99.00 Otros impuestos indirectos</v>
          </cell>
        </row>
        <row r="362">
          <cell r="D362" t="str">
            <v xml:space="preserve">A0944 Superintendencia de Seguridad Social </v>
          </cell>
          <cell r="J362" t="str">
            <v>4.03.19.00.00 Comisiones por servicios para cumplir con los beneficios sociales</v>
          </cell>
        </row>
        <row r="363">
          <cell r="D363" t="str">
            <v>A0948 Instituto de las Artes Escénicas y Musicales</v>
          </cell>
          <cell r="J363" t="str">
            <v>4.03.19.01.00 Comisiones por servicios para cumplir con los beneficios sociales</v>
          </cell>
        </row>
        <row r="364">
          <cell r="D364" t="str">
            <v>A0949 Instituto de las Artes de la Imagen y el Espacio</v>
          </cell>
          <cell r="J364" t="str">
            <v>4.03.99.00.00 Otros servicios no personales</v>
          </cell>
        </row>
        <row r="365">
          <cell r="D365" t="str">
            <v>A0950 Instituto Nacional de Servicios Sociales (INASS)</v>
          </cell>
          <cell r="J365" t="str">
            <v>4.03.99.01.00 Otros servicios no personales</v>
          </cell>
        </row>
        <row r="366">
          <cell r="D366" t="str">
            <v>A0952 Universidad Deportiva del Sur</v>
          </cell>
          <cell r="J366" t="str">
            <v>4.04.00.00.00 ACTIVOS REALES</v>
          </cell>
        </row>
        <row r="367">
          <cell r="D367" t="str">
            <v>A0953 Servicio Autónomo Fondo Nacional del Poder Popular (SAFONAPP)</v>
          </cell>
          <cell r="J367" t="str">
            <v>4.04.01.00.00 Repuestos y reparaciones mayores</v>
          </cell>
        </row>
        <row r="368">
          <cell r="D368" t="str">
            <v>A0955 Servicio Autónomo Comisión Nacional de Lotería (CONALOT)</v>
          </cell>
          <cell r="J368" t="str">
            <v>4.04.01.01.00 Repuestos mayores</v>
          </cell>
        </row>
        <row r="369">
          <cell r="D369" t="str">
            <v>A0956 Servicio Autónomo de Metrología de Hidrocarburos</v>
          </cell>
          <cell r="J369" t="str">
            <v>4.04.01.01.01 Repuestos mayores para maquinaria y demás equipos de</v>
          </cell>
        </row>
        <row r="370">
          <cell r="D370" t="str">
            <v>A0957 Servicio Autónomo Centro Amazónico de Investigación y Control de Enfermedades Tropicales - Simón Bolívar (CAICET)</v>
          </cell>
          <cell r="J370" t="str">
            <v>4.04.01.01.02 Repuestos mayores para equipos de transporte, tracción y elevación</v>
          </cell>
        </row>
        <row r="371">
          <cell r="D371" t="str">
            <v>A0991 Servicio Qautónomo de Contraloría Sanitaria (SACS)</v>
          </cell>
          <cell r="J371" t="str">
            <v>4.04.01.01.03 Repuestos mayores para equipos de comunicaciones y de señalamiento</v>
          </cell>
        </row>
        <row r="372">
          <cell r="D372" t="str">
            <v>A1207 Corporación Venezolana de Telecomunicaciones, S.A (COVETEL)</v>
          </cell>
          <cell r="J372" t="str">
            <v>4.04.01.01.04 Repuestos mayores para equipos médico-quirúrgicos, dentales y de veterinaria</v>
          </cell>
        </row>
        <row r="373">
          <cell r="D373" t="str">
            <v>A1209 Consorcio Venezolano de Industrias Aeronáuticas y Servicios Aéreos, S.A (CONVIASA)</v>
          </cell>
          <cell r="J373" t="str">
            <v>4.04.01.01.05 Repuestos mayores para equipos científicos, religiosos, de enseñanza y recreación</v>
          </cell>
        </row>
        <row r="374">
          <cell r="D374" t="str">
            <v>A1211 Telecom Venezuela, C.A.</v>
          </cell>
          <cell r="J374" t="str">
            <v>4.04.01.01.06 Repuestos mayores para equipos de seguridad pública</v>
          </cell>
        </row>
        <row r="375">
          <cell r="D375" t="str">
            <v>A1214 La Nueva Televisora del Sur, C.A. (T.V. SUR)</v>
          </cell>
          <cell r="J375" t="str">
            <v>4.04.01.01.07 Repuestos mayores para máquinas, muebles y demás equipos de oficina y alojamiento</v>
          </cell>
        </row>
        <row r="376">
          <cell r="D376" t="str">
            <v>A1219 Industria Venezolana Endógena de Válvulas, Sociedad
Anónima (Inveval, S.A.)</v>
          </cell>
          <cell r="J376" t="str">
            <v>4.04.01.01.99 Repuestos mayores para otras maquinaria y equipos</v>
          </cell>
        </row>
        <row r="377">
          <cell r="D377" t="str">
            <v>A1221 Vialidad y Construcciones Sucre, S.A. (VYCSUCRE)</v>
          </cell>
          <cell r="J377" t="str">
            <v>4.04.01.02.00 Reparaciones mayores de maquinaria y equipos</v>
          </cell>
        </row>
        <row r="378">
          <cell r="D378" t="str">
            <v>A1223 CVA Azúcar, S.A</v>
          </cell>
          <cell r="J378" t="str">
            <v>4.04.01.02.01 Reparaciones mayores de maquinaria y demás equipos de construcción, campo, industria y taller</v>
          </cell>
        </row>
        <row r="379">
          <cell r="D379" t="str">
            <v>A1225 Red de Transmisiones de Venezuela, C.A.</v>
          </cell>
          <cell r="J379" t="str">
            <v>4.04.01.02.02 Reparaciones mayores de equipos de transporte, tracción y elevación</v>
          </cell>
        </row>
        <row r="380">
          <cell r="D380" t="str">
            <v>A1232 Empresa de Producción Social Siderúrgica Nacional, C.A.</v>
          </cell>
          <cell r="J380" t="str">
            <v>4.04.01.02.03 Reparaciones mayores de equipos de comunicaciones y de señalamiento</v>
          </cell>
        </row>
        <row r="381">
          <cell r="D381" t="str">
            <v>A1237 Empresa de Producción Social Recuperadora de Materias Primas, C.A.</v>
          </cell>
          <cell r="J381" t="str">
            <v>4.04.01.02.04 Reparaciones mayores de equipos médico - quirúrgicos, dentales y de veterinaria</v>
          </cell>
        </row>
        <row r="382">
          <cell r="D382" t="str">
            <v>A1240 Empresa Noroccidental de Mantenimiento y Obras Hidráulicas, C.A. (ENMOHCA)</v>
          </cell>
          <cell r="J382" t="str">
            <v>4.04.01.02.05 Reparaciones mayores de equipos científicos, religiosos, de enseñanza y recreación</v>
          </cell>
        </row>
        <row r="383">
          <cell r="D383" t="str">
            <v>A1242 Empresa de Producción Social Constructora Nacional de Rieles para Vías Férreas y Estructuras Metálicas para ser destinadas en la Construcción de Viviendas y Otras Aplicaciones, C.A.</v>
          </cell>
          <cell r="J383" t="str">
            <v>4.04.01.02.06 Reparaciones mayores de equipos y armamentos de orden público, seguridad y defensa nacional</v>
          </cell>
        </row>
        <row r="384">
          <cell r="D384" t="str">
            <v>A1265 Sistema Integral de Transporte Superficial, S.A. (SITSSA)</v>
          </cell>
          <cell r="J384" t="str">
            <v>4.04.01.02.07 Reparaciones mayores de máquinas, muebles y demás equipos de oficina y alojamiento</v>
          </cell>
        </row>
        <row r="385">
          <cell r="D385" t="str">
            <v>A1266 Compañía Anónima Nacional Teléfonos de Venezuela (CANTV)</v>
          </cell>
          <cell r="J385" t="str">
            <v>4.04.01.02.99 Reparaciones mayores de otras maquinaria y equipos</v>
          </cell>
        </row>
        <row r="386">
          <cell r="D386" t="str">
            <v>A1267 Corporación para el Desarrollo Científico y Tecnológico, S.A.
(CODECYT S.A)</v>
          </cell>
          <cell r="J386" t="str">
            <v>4.04.02.00.00 Conservación, ampliaciones y mejoras mayores de obras</v>
          </cell>
        </row>
        <row r="387">
          <cell r="D387" t="str">
            <v>A1283 Empresa para la Infraestructura Ferroviaria Latinoamericana, S.A. (FERROLASA)</v>
          </cell>
          <cell r="J387" t="str">
            <v>4.04.02.01.00 Conservación, ampliaciones y mejoras mayores de obras en bienes del dominio privado</v>
          </cell>
        </row>
        <row r="388">
          <cell r="D388" t="str">
            <v>A1284 Corporación de Industrias Intermedias de Venezuela, S.A. (Corpivensa)</v>
          </cell>
          <cell r="J388" t="str">
            <v>4.04.02.02.00 Conservación, ampliaciones y mejoras mayores de obras en bienes del dominio público</v>
          </cell>
        </row>
        <row r="389">
          <cell r="D389" t="str">
            <v>A1288 Insumos Ferroviarios, C.A.</v>
          </cell>
          <cell r="J389" t="str">
            <v>4.04.03.00.00 Maquinaria y demás equipos de construcción, campo, industria y taller</v>
          </cell>
        </row>
        <row r="390">
          <cell r="D390" t="str">
            <v>A1291 Corporación Eléctrica Nacional, S.A. (Corpoelec)</v>
          </cell>
          <cell r="J390" t="str">
            <v>4.04.03.01.00 Maquinaria y demás equipos de construcción y mantenimiento</v>
          </cell>
        </row>
        <row r="391">
          <cell r="D391" t="str">
            <v>A1293 CVA Compañía de Mecanizado Agrícola y Transporte Pedro Carrejo, S.A</v>
          </cell>
          <cell r="J391" t="str">
            <v>4.04.03.02.00 Maquinaria y equipos para mantenimiento de automotores</v>
          </cell>
        </row>
        <row r="392">
          <cell r="D392" t="str">
            <v>A1301 Agencia Bolivariana de Actividades Especiales (ABAE)</v>
          </cell>
          <cell r="J392" t="str">
            <v>4.04.03.03.00 Maquinaria y equipos agrícolas y pecuarios</v>
          </cell>
        </row>
        <row r="393">
          <cell r="D393" t="str">
            <v>A1302 Fondo para el Desarrollo Agrario Socialista (FONDAS)</v>
          </cell>
          <cell r="J393" t="str">
            <v>4.04.03.04.00 Maquinaria y equipos de artes gráficas y reproducción</v>
          </cell>
        </row>
        <row r="394">
          <cell r="D394" t="str">
            <v>A1303 Servicio Autónomo de Registros y Notarías (SAREN)</v>
          </cell>
          <cell r="J394" t="str">
            <v>4.04.03.05.00 Maquinaria y equipos industriales y de taller</v>
          </cell>
        </row>
        <row r="395">
          <cell r="D395" t="str">
            <v>A1314 Instituto Nacional de Meteorología e Hidrología (INAMEH)</v>
          </cell>
          <cell r="J395" t="str">
            <v>4.04.03.06.00 Maquinaria y equipos de energía</v>
          </cell>
        </row>
        <row r="396">
          <cell r="D396" t="str">
            <v>A1315 Instituto Universitario Latinoamericano de Agroecología Paulo Freire (IALA)</v>
          </cell>
          <cell r="J396" t="str">
            <v>4.04.03.07.00 Maquinaria y equipos de riego y acueductos</v>
          </cell>
        </row>
        <row r="397">
          <cell r="D397" t="str">
            <v>A1322 Universidad Nacional Experimental de las Artes (UNEARTE)</v>
          </cell>
          <cell r="J397" t="str">
            <v>4.04.03.08.00 Equipos de almacén</v>
          </cell>
        </row>
        <row r="398">
          <cell r="D398" t="str">
            <v>A1329 Instituto Nacional de Turismo (INATUR)</v>
          </cell>
          <cell r="J398" t="str">
            <v>4.04.03.99.00 Otra maquinaria y demás equipos de construcción, campo, industria y taller</v>
          </cell>
        </row>
        <row r="399">
          <cell r="D399" t="str">
            <v>A1330 Instituto Nacional de Salud Agrícola Integral (INSAI)</v>
          </cell>
          <cell r="J399" t="str">
            <v>4.04.04.00.00 Equipos de transporte, tracción y elevación</v>
          </cell>
        </row>
        <row r="400">
          <cell r="D400" t="str">
            <v>A1342 Servicio Administrativo de Identificación, Migración y Extranjería (SAIME)</v>
          </cell>
          <cell r="J400" t="str">
            <v>4.04.04.01.00 Vehículos automotores terrestres</v>
          </cell>
        </row>
        <row r="401">
          <cell r="D401" t="str">
            <v>A1349 Servicio Autónomo Lotería de Caracas</v>
          </cell>
          <cell r="J401" t="str">
            <v>4.04.04.02.00 Equipos ferroviarios y de cables aéreos</v>
          </cell>
        </row>
        <row r="402">
          <cell r="D402" t="str">
            <v>A1350 Universidad Bolivariana de Trabajadores "Jesús Rivero"</v>
          </cell>
          <cell r="J402" t="str">
            <v>4.04.04.03.00 Equipos marítimos de transporte</v>
          </cell>
        </row>
        <row r="403">
          <cell r="D403" t="str">
            <v>A1353 Servicio de Administración Tributaria del
Distrito Capital (SATDC)</v>
          </cell>
          <cell r="J403" t="str">
            <v>4.04.04.04.00 Equipos aéreos de transporte</v>
          </cell>
        </row>
        <row r="404">
          <cell r="D404" t="str">
            <v>A1354 Cuerpo de Bomberos del Gobierno del
Distrito Capital</v>
          </cell>
          <cell r="J404" t="str">
            <v>4.04.04.05.00 Vehículos de tracción no motorizados</v>
          </cell>
        </row>
        <row r="405">
          <cell r="D405" t="str">
            <v>A1355 Fondo Nacional Antidrogas</v>
          </cell>
          <cell r="J405" t="str">
            <v>4.04.04.06.00 Equipos auxiliares de transporte</v>
          </cell>
        </row>
        <row r="406">
          <cell r="D406" t="str">
            <v>A1358 Universidad Nacional Experimental de la Seguridad (UNES)</v>
          </cell>
          <cell r="J406" t="str">
            <v>4.04.04.99.00 Otros equipos de transporte, tracción y elevación</v>
          </cell>
        </row>
        <row r="407">
          <cell r="D407" t="str">
            <v>A1364 Universidad Politécnica Territorial del Alto Apure Pedro Camejo</v>
          </cell>
          <cell r="J407" t="str">
            <v>4.04.05.00.00 Equipos de comunicaciones y de señalamiento</v>
          </cell>
        </row>
        <row r="408">
          <cell r="D408" t="str">
            <v>A1365 Universidad Politécnica Territorial del Estado Barinas José Félix Ribas</v>
          </cell>
          <cell r="J408" t="str">
            <v>4.04.05.01.00 Equipos de telecomunicaciones</v>
          </cell>
        </row>
        <row r="409">
          <cell r="D409" t="str">
            <v>A1366 Universidad Politécnica Territorial de Barlovento Argelia Laya</v>
          </cell>
          <cell r="J409" t="str">
            <v>4.04.05.02.00 Equipos de señalamiento</v>
          </cell>
        </row>
        <row r="410">
          <cell r="D410" t="str">
            <v xml:space="preserve">A1367 Universidad Politécnica Territorial del Estado Lara Andrés Eloy Blanco </v>
          </cell>
          <cell r="J410" t="str">
            <v>4.04.05.03.00 Equipos de control de tráfico aéreo</v>
          </cell>
        </row>
        <row r="411">
          <cell r="D411" t="str">
            <v>A1368 Universidad Politécnica Territorial del Norte del Táchira Manuela Sáenz</v>
          </cell>
          <cell r="J411" t="str">
            <v>4.04.05.04.00 Equipos de correo</v>
          </cell>
        </row>
        <row r="412">
          <cell r="D412" t="str">
            <v>A1369 Universidad Politécnica Territorial del Estado Aragua Federico Brito Figueroa</v>
          </cell>
          <cell r="J412" t="str">
            <v>4.04.05.99.00 Otros equipos de comunicaciones y de señalamiento</v>
          </cell>
        </row>
        <row r="413">
          <cell r="D413" t="str">
            <v>A1370 Superintendencia de la Actividad Aseguradora</v>
          </cell>
          <cell r="J413" t="str">
            <v>4.04.06.00.00 Equipos médico - quirúrgicos, dentales y de veterinaria</v>
          </cell>
        </row>
        <row r="414">
          <cell r="D414" t="str">
            <v>A1375 Universidad Militar Bolivariana de Venezuela (UMBV)</v>
          </cell>
          <cell r="J414" t="str">
            <v>4.04.06.01.00 Equipos médico - quirúrgicos, dentales y de veterinaria</v>
          </cell>
        </row>
        <row r="415">
          <cell r="D415" t="str">
            <v>A1377 Bolsa Pública de Valores Bicentenaria</v>
          </cell>
          <cell r="J415" t="str">
            <v>4.04.06.99.00 Otros equipos médico - quirúrgicos, dentales y de veterinaria</v>
          </cell>
        </row>
        <row r="416">
          <cell r="D416" t="str">
            <v>A1518 Sistema de Transporte Masivo de Barquisimeto, C.A. (TRANSBAR, C.A.)</v>
          </cell>
          <cell r="J416" t="str">
            <v>4.04.07.00.00 Equipos científicos, religiosos, de enseñanza y recreación</v>
          </cell>
        </row>
        <row r="417">
          <cell r="D417" t="str">
            <v>A1527 Bolivariana de Puertos, S.A. (BOLIPUERTOS)</v>
          </cell>
          <cell r="J417" t="str">
            <v>4.04.07.01.00 Equipos científicos y de laboratorio</v>
          </cell>
        </row>
        <row r="418">
          <cell r="D418" t="str">
            <v xml:space="preserve">A1528 Radio Mundial C.A. </v>
          </cell>
          <cell r="J418" t="str">
            <v>4.04.07.02.00 Equipos de enseñanza, deporte y recreación</v>
          </cell>
        </row>
        <row r="419">
          <cell r="D419" t="str">
            <v>A1529 Radio Zulia, C.A.</v>
          </cell>
          <cell r="J419" t="str">
            <v>4.04.07.03.00 Obras de arte</v>
          </cell>
        </row>
        <row r="420">
          <cell r="D420" t="str">
            <v>A1530 Radio Margarita, C.A.</v>
          </cell>
          <cell r="J420" t="str">
            <v>4.04.07.04.00 Libros, revistas y otros instrumentos de enseñanzas</v>
          </cell>
        </row>
        <row r="421">
          <cell r="D421" t="str">
            <v>A1531 Radiodifusora Los Andes, C.A.</v>
          </cell>
          <cell r="J421" t="str">
            <v>4.04.07.05.00 Equipos religiosos</v>
          </cell>
        </row>
        <row r="422">
          <cell r="D422" t="str">
            <v>A1533 Bolivariana de Aeropuertos, S.A. (BAER)</v>
          </cell>
          <cell r="J422" t="str">
            <v>4.04.07.06.00 Instrumentos musicales</v>
          </cell>
        </row>
        <row r="423">
          <cell r="D423" t="str">
            <v>A1536 Corporación de Servicios del Distrito Capital, S.A</v>
          </cell>
          <cell r="J423" t="str">
            <v>4.04.07.99.00 Otros equipos científicos, religiosos, de enseñanza y recreación</v>
          </cell>
        </row>
        <row r="424">
          <cell r="D424" t="str">
            <v>A1538 Trolebús Mérida, C.A. (TROMERCA)</v>
          </cell>
          <cell r="J424" t="str">
            <v>4.04.08.00.00 Equipos y armamentos de orden público, seguridad y defensa</v>
          </cell>
        </row>
        <row r="425">
          <cell r="D425" t="str">
            <v>A1539 Radio Nacional de Venezuela, C.A</v>
          </cell>
          <cell r="J425" t="str">
            <v>4.04.08.01.00 Equipos y armamentos de orden público, seguridad y defensa nacional</v>
          </cell>
        </row>
        <row r="426">
          <cell r="D426" t="str">
            <v>A1540 Agencia Venezolana de Noticias, C.A.</v>
          </cell>
          <cell r="J426" t="str">
            <v>4.04.08.02.00 Equipos y armamentos de seguridad para la custodia y resguardo personal</v>
          </cell>
        </row>
        <row r="427">
          <cell r="D427" t="str">
            <v>A1545 Corporación Venezolana de Alimentos, S.A (CVAL, S.A)</v>
          </cell>
          <cell r="J427" t="str">
            <v>4.04.08.99.00 Otros equipos y armamentos de orden público, seguridad y defensa nacional</v>
          </cell>
        </row>
        <row r="428">
          <cell r="D428" t="str">
            <v>A1546 La Radio del Sur, C.A</v>
          </cell>
          <cell r="J428" t="str">
            <v>4.04.09.00.00 Máquinas, muebles y demás equipos de oficina y alojamiento</v>
          </cell>
        </row>
        <row r="429">
          <cell r="D429" t="str">
            <v>A1549 Productora y Distribuidora Venezolana de Alimentos, S.A. (PDVAL)</v>
          </cell>
          <cell r="J429" t="str">
            <v>4.04.09.01.00 Mobiliario y equipos de oficina</v>
          </cell>
        </row>
        <row r="430">
          <cell r="D430" t="str">
            <v>A1554 Corporación Venezolana del Café, S.A</v>
          </cell>
          <cell r="J430" t="str">
            <v>4.04.09.02.00 Equipos de computación</v>
          </cell>
        </row>
        <row r="431">
          <cell r="D431" t="str">
            <v>A1558 Empresa de Propiedad Social Algodones del Orinoco C.A</v>
          </cell>
          <cell r="J431" t="str">
            <v>4.04.09.03.00 Mobiliario y equipos de alojamiento</v>
          </cell>
        </row>
        <row r="432">
          <cell r="D432" t="str">
            <v>A1559 Corporación Socialista del Cacao Venezolano, S.A</v>
          </cell>
          <cell r="J432" t="str">
            <v>4.04.09.99.00 Otras máquinas, muebles y demás equipos de oficina y alojamiento</v>
          </cell>
        </row>
        <row r="433">
          <cell r="D433" t="str">
            <v>A1601 Fundación Correo del Orinoco</v>
          </cell>
          <cell r="J433" t="str">
            <v>4.04.10.00.00 Semovientes</v>
          </cell>
        </row>
        <row r="434">
          <cell r="D434" t="str">
            <v>A1602 Fundación Misión Niño Jesús</v>
          </cell>
          <cell r="J434" t="str">
            <v>4.04.10.01.00 Semovientes</v>
          </cell>
        </row>
        <row r="435">
          <cell r="D435" t="str">
            <v>A1603 Fundación Radio de la AN (AN Radio)</v>
          </cell>
          <cell r="J435" t="str">
            <v>4.04.11.00.00 Inmuebles, maquinaria y equipos usados</v>
          </cell>
        </row>
        <row r="436">
          <cell r="D436" t="str">
            <v>A1604 Fundación Oficina Presidencial de Planes y Proyectos Especiales</v>
          </cell>
          <cell r="J436" t="str">
            <v>4.04.11.01.00 Adquisición de tierras y terrenos</v>
          </cell>
        </row>
        <row r="437">
          <cell r="D437" t="str">
            <v>A1605 Fundaciòn Fondo Administrativo de Salud para el MRIJ, de sus Órganos y Entes Adscritos</v>
          </cell>
          <cell r="J437" t="str">
            <v>4.04.11.02.00 Adquisición de edificios e instalaciones</v>
          </cell>
        </row>
        <row r="438">
          <cell r="D438" t="str">
            <v>IO079 Organización de las Naciones Unidas para la Agricultura y la Alimentación (FAO)</v>
          </cell>
          <cell r="J438" t="str">
            <v>4.04.11.03.00 Expropiación de tierras y terrenos</v>
          </cell>
        </row>
        <row r="439">
          <cell r="D439" t="str">
            <v>S1040 Convenio ME - AVEC</v>
          </cell>
          <cell r="J439" t="str">
            <v>4.04.11.04.00 Expropiación de edificios e instalaciones</v>
          </cell>
        </row>
        <row r="440">
          <cell r="J440" t="str">
            <v>4.04.11.05.00 Adquisición de maquinaria y equipos usados</v>
          </cell>
        </row>
        <row r="441">
          <cell r="J441" t="str">
            <v>4.04.11.05.01 Maquinaria y demás equipos de construcción, campo, industria y taller</v>
          </cell>
        </row>
        <row r="442">
          <cell r="J442" t="str">
            <v>4.04.11.05.02 Equipos de transporte, tracción y elevación</v>
          </cell>
        </row>
        <row r="443">
          <cell r="J443" t="str">
            <v>4.04.11.05.03 Equipos de comunicaciones y de señalamiento</v>
          </cell>
        </row>
        <row r="444">
          <cell r="J444" t="str">
            <v>4.04.11.05.04 Equipos médico - quirúrgicos, dentales y de veterinaria</v>
          </cell>
        </row>
        <row r="445">
          <cell r="J445" t="str">
            <v>4.04.11.05.05 Equipos científicos, religiosos, de enseñanza y recreación</v>
          </cell>
        </row>
        <row r="446">
          <cell r="J446" t="str">
            <v>4.04.11.05.06 Equipos para seguridad pública</v>
          </cell>
        </row>
        <row r="447">
          <cell r="J447" t="str">
            <v>4.04.11.05.07 Máquinas, muebles y demás equipos de oficina y alojamiento</v>
          </cell>
        </row>
        <row r="448">
          <cell r="J448" t="str">
            <v>4.04.11.05.99 Otras maquinaria y equipos usados</v>
          </cell>
        </row>
        <row r="449">
          <cell r="J449" t="str">
            <v>4.04.12.00.00 Activos intangibles</v>
          </cell>
        </row>
        <row r="450">
          <cell r="J450" t="str">
            <v>4.04.12.01.00 Marcas de fábrica y patentes de invención</v>
          </cell>
        </row>
        <row r="451">
          <cell r="J451" t="str">
            <v>4.04.12.02.00 Derechos de autor</v>
          </cell>
        </row>
        <row r="452">
          <cell r="J452" t="str">
            <v>4.04.12.03.00 Gastos de organización</v>
          </cell>
        </row>
        <row r="453">
          <cell r="J453" t="str">
            <v>4.04.12.04.00 Paquetes y programas de computación</v>
          </cell>
        </row>
        <row r="454">
          <cell r="J454" t="str">
            <v>4.04.12.05.00 Estudios y proyectos</v>
          </cell>
        </row>
        <row r="455">
          <cell r="J455" t="str">
            <v>4.04.12.99.00 Otros activos intangibles</v>
          </cell>
        </row>
        <row r="456">
          <cell r="J456" t="str">
            <v>4.04.13.00.00 Estudios y proyectos para inversión en activos fijos</v>
          </cell>
        </row>
        <row r="457">
          <cell r="J457" t="str">
            <v>4.04.13.01.00 Estudios y proyectos aplicables a bienes del dominio privado</v>
          </cell>
        </row>
        <row r="458">
          <cell r="J458" t="str">
            <v>4.04.13.02.00 Estudios y proyectos aplicables a bienes del dominio público</v>
          </cell>
        </row>
        <row r="459">
          <cell r="J459" t="str">
            <v>4.04.14.00.00 Contratación de inspección de obras</v>
          </cell>
        </row>
        <row r="460">
          <cell r="J460" t="str">
            <v>4.04.14.01.00 Contratación de inspección de obras de bienes del dominio privadoç</v>
          </cell>
        </row>
        <row r="461">
          <cell r="J461" t="str">
            <v>4.04.14.02.00 Contratación de inspección de obras de bienes del dominio público</v>
          </cell>
        </row>
        <row r="462">
          <cell r="J462" t="str">
            <v>4.04.15.00.00 Construcciones del dominio privado</v>
          </cell>
        </row>
        <row r="463">
          <cell r="J463" t="str">
            <v>4.04.15.01.00 Construcciones de edificios médico-asistenciales</v>
          </cell>
        </row>
        <row r="464">
          <cell r="J464" t="str">
            <v>4.04.15.02.00 Construcciones de edificios militares y de seguridad</v>
          </cell>
        </row>
        <row r="465">
          <cell r="J465" t="str">
            <v>4.04.15.03.00 Construcciones de edificios educativos</v>
          </cell>
        </row>
        <row r="466">
          <cell r="J466" t="str">
            <v>4.04.15.04.00 Construcciones de edificios culturales</v>
          </cell>
        </row>
        <row r="467">
          <cell r="J467" t="str">
            <v>4.04.15.05.00 Construcciones de edificios para oficina</v>
          </cell>
        </row>
        <row r="468">
          <cell r="J468" t="str">
            <v>4.04.15.99.00 Otras construcciones del dominio privado</v>
          </cell>
        </row>
        <row r="469">
          <cell r="J469" t="str">
            <v>4.04.15.06.00 Construcciones de edificios industriales</v>
          </cell>
        </row>
        <row r="470">
          <cell r="J470" t="str">
            <v>4.04.16.00.00 Construcciones del dominio público</v>
          </cell>
        </row>
        <row r="471">
          <cell r="J471" t="str">
            <v>4.04.16.01.00 Construcción de vialidad</v>
          </cell>
        </row>
        <row r="472">
          <cell r="J472" t="str">
            <v>4.04.16.02.00 Construcción de plazas, parques y similares</v>
          </cell>
        </row>
        <row r="473">
          <cell r="J473" t="str">
            <v>4.04.16.03.00 Construcciones de instalaciones hidráulicas</v>
          </cell>
        </row>
        <row r="474">
          <cell r="J474" t="str">
            <v>4.04.16.04.00 Construcciones de puertos y aeropuertos</v>
          </cell>
        </row>
        <row r="475">
          <cell r="J475" t="str">
            <v>4.04.16.99.00 Otras construcciones de dominio público</v>
          </cell>
        </row>
        <row r="476">
          <cell r="J476" t="str">
            <v>4.04.99.00.00 Otros activos reales</v>
          </cell>
        </row>
        <row r="477">
          <cell r="J477" t="str">
            <v>4.04.99.01.00 Otros activos reales</v>
          </cell>
        </row>
        <row r="478">
          <cell r="J478" t="str">
            <v>4.05.00.00.00 ACTIVOS FINANCIEROS</v>
          </cell>
        </row>
        <row r="479">
          <cell r="J479" t="str">
            <v>4.05.01.00.00 Aportes en acciones y participaciones de capital</v>
          </cell>
        </row>
        <row r="480">
          <cell r="J480" t="str">
            <v>4.05.01.01.00 Aportes en acciones y participaciones de capital al sector privado</v>
          </cell>
        </row>
        <row r="481">
          <cell r="J481" t="str">
            <v>4.05.01.02.00 Aportes en acciones y participaciones de capital al sector público</v>
          </cell>
        </row>
        <row r="482">
          <cell r="J482" t="str">
            <v>4.05.01.02.01 Aportes en acciones y participaciones de capital a entes descentralizados sin fines empresariales</v>
          </cell>
        </row>
        <row r="483">
          <cell r="J483" t="str">
            <v>4.05.01.02.02 Aportes en acciones y participaciones de capital a instituciones de protección social</v>
          </cell>
        </row>
        <row r="484">
          <cell r="J484" t="str">
            <v>4.05.01.02.03 Aportes en acciones y participaciones de capital a entes descentralizados con fines empresariales petroleros</v>
          </cell>
        </row>
        <row r="485">
          <cell r="J485" t="str">
            <v>4.05.01.02.04 Aportes en acciones y participaciones de capital a entes descentralizados con fines empresariales no petroleros</v>
          </cell>
        </row>
        <row r="486">
          <cell r="J486" t="str">
            <v>4.05.01.02.05 Aportes en acciones y participaciones de capital a entes descentralizados financieros bancarios</v>
          </cell>
        </row>
        <row r="487">
          <cell r="J487" t="str">
            <v>4.05.01.02.06 Aportes en acciones y participaciones de capital a entes descentralizados financieros no bancarios</v>
          </cell>
        </row>
        <row r="488">
          <cell r="J488" t="str">
            <v>4.05.01.02.07 Aportes en acciones y participaciones de capital a organismos del sector público para el pago de su deuda</v>
          </cell>
        </row>
        <row r="489">
          <cell r="J489" t="str">
            <v>4.05.01.03.00 Aportes en acciones y participaciones de capital al sector externo</v>
          </cell>
        </row>
        <row r="490">
          <cell r="J490" t="str">
            <v>4.05.01.03.01 Aportes en acciones y participaciones de capital a organismos internacionales</v>
          </cell>
        </row>
        <row r="491">
          <cell r="J491" t="str">
            <v>4.05.01.03.99 Otros aportes en acciones y participaciones de capital al sector externo</v>
          </cell>
        </row>
        <row r="492">
          <cell r="J492" t="str">
            <v>4.05.02.00.00 Adquisición de títulos y valores que no otorgan propiedad</v>
          </cell>
        </row>
        <row r="493">
          <cell r="J493" t="str">
            <v>4.05.02.01.00 Adquisición de títulos y valores a corto plazo</v>
          </cell>
        </row>
        <row r="494">
          <cell r="J494" t="str">
            <v>4.05.02.01.01 Adquisición de títulos y valores privados</v>
          </cell>
        </row>
        <row r="495">
          <cell r="J495" t="str">
            <v>4.05.02.01.02 Adquisición de títulos y valores públicos</v>
          </cell>
        </row>
        <row r="496">
          <cell r="J496" t="str">
            <v>4.05.02.01.03 Adquisición de títulos y valores externos</v>
          </cell>
        </row>
        <row r="497">
          <cell r="J497" t="str">
            <v>4.05.02.02.00 Adquisición de títulos y valores a largo plazo</v>
          </cell>
        </row>
        <row r="498">
          <cell r="J498" t="str">
            <v>4.05.02.02.01 Adquisición de títulos y valores privados</v>
          </cell>
        </row>
        <row r="499">
          <cell r="J499" t="str">
            <v>4.05.02.02.02 Adquisición de títulos y valores públicos</v>
          </cell>
        </row>
        <row r="500">
          <cell r="J500" t="str">
            <v>4.05.02.02.03 Adquisición de títulos y valores externos</v>
          </cell>
        </row>
        <row r="501">
          <cell r="J501" t="str">
            <v>4.05.03.00.00 Concesión de préstamos a corto plazo</v>
          </cell>
        </row>
        <row r="502">
          <cell r="J502" t="str">
            <v>4.05.03.01.00 Concesión de préstamos al sector privado a corto plazo</v>
          </cell>
        </row>
        <row r="503">
          <cell r="J503" t="str">
            <v>4.05.03.02.00 Concesión de préstamos al sector público a corto plazo</v>
          </cell>
        </row>
        <row r="504">
          <cell r="J504" t="str">
            <v>4.05.03.02.01 Concesión de préstamos a la República</v>
          </cell>
        </row>
        <row r="505">
          <cell r="J505" t="str">
            <v>4.05.03.02.02 Concesión de préstamos a entes descentralizados sin fines empresariales</v>
          </cell>
        </row>
        <row r="506">
          <cell r="J506" t="str">
            <v>4.05.03.02.03 Concesión de préstamos a instituciones de protección social</v>
          </cell>
        </row>
        <row r="507">
          <cell r="J507" t="str">
            <v xml:space="preserve">4.05.03.02.04 Concesión de préstamos a entes descentralizados con fines  empresariales petroleros </v>
          </cell>
        </row>
        <row r="508">
          <cell r="J508" t="str">
            <v>4.05.03.02.05 Concesión de préstamos a entes descentralizados con fines empresariales no petroleros</v>
          </cell>
        </row>
        <row r="509">
          <cell r="J509" t="str">
            <v>4.05.03.02.06 Concesión de préstamos a entes descentralizados financieros bancarios</v>
          </cell>
        </row>
        <row r="510">
          <cell r="J510" t="str">
            <v>4.05.03.02.07 Concesión de préstamos a entes descentralizados financieras no bancarios</v>
          </cell>
        </row>
        <row r="511">
          <cell r="J511" t="str">
            <v>4.05.03.02.08 Concesión de préstamos al Poder Estadal</v>
          </cell>
        </row>
        <row r="512">
          <cell r="J512" t="str">
            <v>4.05.03.02.09 Concesión de préstamos al Poder Municipal</v>
          </cell>
        </row>
        <row r="513">
          <cell r="J513" t="str">
            <v>4.05.03.03.00 Concesión de préstamos al sector externo a corto plazo</v>
          </cell>
        </row>
        <row r="514">
          <cell r="J514" t="str">
            <v>4.05.03.03.01 Concesión de préstamos a instituciones sin fines de lucro</v>
          </cell>
        </row>
        <row r="515">
          <cell r="J515" t="str">
            <v>4.05.03.03.02 Concesión de préstamos a gobiernos extranjeros</v>
          </cell>
        </row>
        <row r="516">
          <cell r="J516" t="str">
            <v>4.05.03.03.03 Concesión de préstamos a organismos internacionales</v>
          </cell>
        </row>
        <row r="517">
          <cell r="J517" t="str">
            <v>4.05.04.00.00 Concesión de préstamos a largo plazo</v>
          </cell>
        </row>
        <row r="518">
          <cell r="J518" t="str">
            <v>4.05.04.01.00 Concesión de préstamos al sector privado a largo plazo</v>
          </cell>
        </row>
        <row r="519">
          <cell r="J519" t="str">
            <v>4.05.04.02.00 Concesión de préstamos al sector público a largo plazo</v>
          </cell>
        </row>
        <row r="520">
          <cell r="J520" t="str">
            <v>4.05.04.02.01 Concesión de préstamos a la República</v>
          </cell>
        </row>
        <row r="521">
          <cell r="J521" t="str">
            <v>4.05.04.02.02 Concesión de préstamos a entes descentralizados sin fines empresariales</v>
          </cell>
        </row>
        <row r="522">
          <cell r="J522" t="str">
            <v>4.05.04.02.03 Concesión de préstamos a instituciones de protección social</v>
          </cell>
        </row>
        <row r="523">
          <cell r="J523" t="str">
            <v>4.05.04.02.04 Concesión de préstamos a entes descentralizados con fines empresariales petroleros</v>
          </cell>
        </row>
        <row r="524">
          <cell r="J524" t="str">
            <v>4.05.04.02.05 Concesión de préstamos a entes descentralizados con fines empresariales no petroleros</v>
          </cell>
        </row>
        <row r="525">
          <cell r="J525" t="str">
            <v>4.05.04.02.06 Concesión de préstamos a entes descentralizados financieros bancarios</v>
          </cell>
        </row>
        <row r="526">
          <cell r="J526" t="str">
            <v>4.05.04.02.07 Concesión de préstamos a entes descentralizados financieros no bancarios</v>
          </cell>
        </row>
        <row r="527">
          <cell r="J527" t="str">
            <v>4.05.04.02.08 Concesión de préstamos al Poder Estadal</v>
          </cell>
        </row>
        <row r="528">
          <cell r="J528" t="str">
            <v>4.05.04.02.09 Concesión de préstamos al Poder Municipal</v>
          </cell>
        </row>
        <row r="529">
          <cell r="J529" t="str">
            <v>4.05.04.03.00 Concesión de préstamos al sector externo a largo plazo</v>
          </cell>
        </row>
        <row r="530">
          <cell r="J530" t="str">
            <v>4.05.04.03.01 Concesión de préstamos a instituciones sin fines de lucro</v>
          </cell>
        </row>
        <row r="531">
          <cell r="J531" t="str">
            <v>4.05.04.03.02 Concesión de préstamos a gobiernos extranjeros</v>
          </cell>
        </row>
        <row r="532">
          <cell r="J532" t="str">
            <v>4.05.04.03.03 Concesión de préstamos a organismos internacionales</v>
          </cell>
        </row>
        <row r="533">
          <cell r="J533" t="str">
            <v>4.05.05.00.00 Incremento de disponibilidades</v>
          </cell>
        </row>
        <row r="534">
          <cell r="J534" t="str">
            <v>4.05.05.01.00 Incremento en caja</v>
          </cell>
        </row>
        <row r="535">
          <cell r="J535" t="str">
            <v>4.05.05.02.00 Incremento en bancos</v>
          </cell>
        </row>
        <row r="536">
          <cell r="J536" t="str">
            <v>4.05.05.02.01 Incremento en bancos públicos</v>
          </cell>
        </row>
        <row r="537">
          <cell r="J537" t="str">
            <v>4.05.05.02.02 Incremento en bancos privados</v>
          </cell>
        </row>
        <row r="538">
          <cell r="J538" t="str">
            <v>4.05.05.02.03 Incremento en bancos del exterior</v>
          </cell>
        </row>
        <row r="539">
          <cell r="J539" t="str">
            <v>4.05.05.03.00 Incremento de inversiones temporales</v>
          </cell>
        </row>
        <row r="540">
          <cell r="J540" t="str">
            <v>4.05.06.00.00 Incremento de cuentas por cobrar a corto plazo</v>
          </cell>
        </row>
        <row r="541">
          <cell r="J541" t="str">
            <v>4.05.06.01.00 Incremento de cuentas comerciales por cobrar a corto plazo</v>
          </cell>
        </row>
        <row r="542">
          <cell r="J542" t="str">
            <v>4.05.06.02.00 Incremento de rentas por recaudar a corto plazo</v>
          </cell>
        </row>
        <row r="543">
          <cell r="J543" t="str">
            <v>4.05.06.03.00 Incremento de deudas por rendir</v>
          </cell>
        </row>
        <row r="544">
          <cell r="J544" t="str">
            <v>4.05.06.03.01 Incremento de deudas por rendir de fondos en avance</v>
          </cell>
        </row>
        <row r="545">
          <cell r="J545" t="str">
            <v>4.05.06.03.02 Incremento de deudas por rendir de fondos en anticipo</v>
          </cell>
        </row>
        <row r="546">
          <cell r="J546" t="str">
            <v>4.05.06.99.00 Incremento de otras cuentas por cobrar a corto plazo</v>
          </cell>
        </row>
        <row r="547">
          <cell r="J547" t="str">
            <v>4.05.07.00.00 Incremento de efectos por cobrar a corto plazo</v>
          </cell>
        </row>
        <row r="548">
          <cell r="J548" t="str">
            <v>4.05.07.01.00 Incremento de efectos comerciales por cobrar a corto plazo</v>
          </cell>
        </row>
        <row r="549">
          <cell r="J549" t="str">
            <v>4.05.07.99.00 Incremento de otros efectos por cobrar a corto plazo</v>
          </cell>
        </row>
        <row r="550">
          <cell r="J550" t="str">
            <v>4.05.08.00.00 Incremento de cuentas por cobrar a mediano y largo plazo</v>
          </cell>
        </row>
        <row r="551">
          <cell r="J551" t="str">
            <v>4.05.08.01.00 Incremento de cuentas comerciales por cobrar a mediano y largo plazo</v>
          </cell>
        </row>
        <row r="552">
          <cell r="J552" t="str">
            <v>4.05.08.02.00 Incremento de rentas por recaudar a mediano y largo plazo</v>
          </cell>
        </row>
        <row r="553">
          <cell r="J553" t="str">
            <v>4.05.08.99.00 Incremento de otras cuentas por cobrar a mediano y largo plazo</v>
          </cell>
        </row>
        <row r="554">
          <cell r="J554" t="str">
            <v>4.05.09.00.00 Incremento de efectos por cobrar a mediano y largo plazo</v>
          </cell>
        </row>
        <row r="555">
          <cell r="J555" t="str">
            <v>4.05.09.01.00 Incremento de efectos comerciales por cobrar a mediano y largo plazo</v>
          </cell>
        </row>
        <row r="556">
          <cell r="J556" t="str">
            <v>4.05.09.99.00 Incremento de otros efectos por cobrar a mediano y largo plazo</v>
          </cell>
        </row>
        <row r="557">
          <cell r="J557" t="str">
            <v>4.05.10.00.00 Incremento de fondos en avance, en anticipos y en fideicomiso</v>
          </cell>
        </row>
        <row r="558">
          <cell r="J558" t="str">
            <v>4.05.10.01.00 Incremento de fondos en avance</v>
          </cell>
        </row>
        <row r="559">
          <cell r="J559" t="str">
            <v>4.05.10.02.00 Incremento de fondos en anticipos</v>
          </cell>
        </row>
        <row r="560">
          <cell r="J560" t="str">
            <v>4.05.10.03.00 Incremento de fondos en fideicomiso</v>
          </cell>
        </row>
        <row r="561">
          <cell r="J561" t="str">
            <v>4.05.10.04.00 Incremento de anticipos a proveedores</v>
          </cell>
        </row>
        <row r="562">
          <cell r="J562" t="str">
            <v>4.05.10.05.00 Incremento de anticipos a contratistas por contratos de corto plazo</v>
          </cell>
        </row>
        <row r="563">
          <cell r="J563" t="str">
            <v>4.05.10.06.00 Incremento de anticipos a contratistas por contratos de mediano y largo plazo</v>
          </cell>
        </row>
        <row r="564">
          <cell r="J564" t="str">
            <v>4.05.11.00.00 Incremento de activos diferidos a corto plazo</v>
          </cell>
        </row>
        <row r="565">
          <cell r="J565" t="str">
            <v>4.05.11.01.00 Incremento de gastos a corto plazo pagados por anticipado</v>
          </cell>
        </row>
        <row r="566">
          <cell r="J566" t="str">
            <v>4.05.11.01.01 Incremento de intereses de la deuda pública interna a corto plazo pagados por anticipado</v>
          </cell>
        </row>
        <row r="567">
          <cell r="J567" t="str">
            <v>4.05.11.01.02 Incremento de intereses de la deuda pública externa a corto plazo pagados por anticipado</v>
          </cell>
        </row>
        <row r="568">
          <cell r="J568" t="str">
            <v>4.05.11.01.03 Incremento de otros intereses a corto plazo pagados por anticipado</v>
          </cell>
        </row>
        <row r="569">
          <cell r="J569" t="str">
            <v>4.05.11.01.04 Incremento de débitos por apertura de carta de crédito a corto plazo</v>
          </cell>
        </row>
        <row r="570">
          <cell r="J570" t="str">
            <v>4.05.11.01.99 Incremento de otros gastos a corto plazo pagados por anticipado</v>
          </cell>
        </row>
        <row r="571">
          <cell r="J571" t="str">
            <v>4.05.11.02.00 Incremento de depósitos otorgados en garantía a corto plazo</v>
          </cell>
        </row>
        <row r="572">
          <cell r="J572" t="str">
            <v>4.05.11.99.00 Incremento de otros activos diferidos a corto plazo</v>
          </cell>
        </row>
        <row r="573">
          <cell r="J573" t="str">
            <v>4.05.12.00.00 Incremento de activos diferidos a mediano y largo plazo</v>
          </cell>
        </row>
        <row r="574">
          <cell r="J574" t="str">
            <v>4.05.12.01.00 Incremento de gastos a mediano y largo plazo pagados por anticipado</v>
          </cell>
        </row>
        <row r="575">
          <cell r="J575" t="str">
            <v>4.05.12.01.01 Incremento de intereses de la deuda pública interna a largo plazo pagados por anticipado</v>
          </cell>
        </row>
        <row r="576">
          <cell r="J576" t="str">
            <v>4.05.12.01.02 Incremento de intereses de la deuda pública externa a largo plazo pagados por anticipado</v>
          </cell>
        </row>
        <row r="577">
          <cell r="J577" t="str">
            <v>4.05.12.01.08 Incremento de otros intereses a mediano y largo plazo pagados por anticipado</v>
          </cell>
        </row>
        <row r="578">
          <cell r="J578" t="str">
            <v>4.05.12.01.99 Incremento de otros gastos a mediano y largo plazo pagados por anticipado</v>
          </cell>
        </row>
        <row r="579">
          <cell r="J579" t="str">
            <v>4.05.12.02.00 Incremento de depósitos otorgados en garantía a mediano y largo plazo</v>
          </cell>
        </row>
        <row r="580">
          <cell r="J580" t="str">
            <v>4.05.12.99.00 Incremento de otros activos diferidos a mediano y largo plazo</v>
          </cell>
        </row>
        <row r="581">
          <cell r="J581" t="str">
            <v>4.05.13.00.00 Incremento del Fondo de Estabilización Macroeconómica (FEM)</v>
          </cell>
        </row>
        <row r="582">
          <cell r="J582" t="str">
            <v>4.05.13.01.00 Incremento del Fondo de Estabilización Macroeconómica (FEM) de la República</v>
          </cell>
        </row>
        <row r="583">
          <cell r="J583" t="str">
            <v xml:space="preserve">4.05.13.02.00 Incremento del Fondo de Estabilización Macroeconómica </v>
          </cell>
        </row>
        <row r="584">
          <cell r="J584" t="str">
            <v>4.05.13.03.00 Incremento del Fondo de Estabilización Macroeconómica (FEM) del Poder Municipal</v>
          </cell>
        </row>
        <row r="585">
          <cell r="J585" t="str">
            <v>4.05.14.00.00 Incremento del Fondo de Ahorro Intergeneracional</v>
          </cell>
        </row>
        <row r="586">
          <cell r="J586" t="str">
            <v>4.05.14.01.00 Incremento del Fondo de Ahorro Intergeneracional</v>
          </cell>
        </row>
        <row r="587">
          <cell r="J587" t="str">
            <v>4.05.16.00.00 Incremento del Fondo de Aportes del Sector Público</v>
          </cell>
        </row>
        <row r="588">
          <cell r="J588" t="str">
            <v>4.05.16.01.00 Incremento del Fondo de Aportes del Sector Público</v>
          </cell>
        </row>
        <row r="589">
          <cell r="J589" t="str">
            <v>4.05.20.00.00 Incremento de otros activos financieros circulantes</v>
          </cell>
        </row>
        <row r="590">
          <cell r="J590" t="str">
            <v>4.05.20.01.00 Incremento de otros activos financieros circulantes</v>
          </cell>
        </row>
        <row r="591">
          <cell r="J591" t="str">
            <v>4.05.21.00.00 Incremento de otros activos financieros no circulantes</v>
          </cell>
        </row>
        <row r="592">
          <cell r="J592" t="str">
            <v>4.05.21.01.00 Incremento de activos en gestión judicial a mediano y largo plazo</v>
          </cell>
        </row>
        <row r="593">
          <cell r="J593" t="str">
            <v>4.05.21.02.00 Incremento de títulos y otros valores de la deuda pública en litigio a largo plazo</v>
          </cell>
        </row>
        <row r="594">
          <cell r="J594" t="str">
            <v>4.05.21.99.00 Incremento de otros activos financieros no circulantes</v>
          </cell>
        </row>
        <row r="595">
          <cell r="J595" t="str">
            <v>4.05.99.00.00 Otros activos financieros</v>
          </cell>
        </row>
        <row r="596">
          <cell r="J596" t="str">
            <v>4.05.99.01.00 Otros activos financieros</v>
          </cell>
        </row>
        <row r="597">
          <cell r="J597" t="str">
            <v>4.06.00.00.00 GASTOS DE DEFENSA Y SEGURIDAD DEL ESTADO</v>
          </cell>
        </row>
        <row r="598">
          <cell r="J598" t="str">
            <v>4.06.01.00.00 Gastos de defensa y seguridad del Estado</v>
          </cell>
        </row>
        <row r="599">
          <cell r="J599" t="str">
            <v>4.06.01.01.00 Gastos de defensa y seguridad del Estado</v>
          </cell>
        </row>
        <row r="600">
          <cell r="J600" t="str">
            <v>4.07.00.00.00 TRANSFERENCIAS Y DONACIONES</v>
          </cell>
        </row>
        <row r="601">
          <cell r="J601" t="str">
            <v>4.07.01.00.00 Transferencias y donaciones corrientes internas</v>
          </cell>
        </row>
        <row r="602">
          <cell r="J602" t="str">
            <v>4.07.01.01.00 Transferencias corrientes internas al sector privado</v>
          </cell>
        </row>
        <row r="603">
          <cell r="J603" t="str">
            <v>4.07.01.01.01 Pensiones</v>
          </cell>
        </row>
        <row r="604">
          <cell r="J604" t="str">
            <v>4.07.01.01.02 Jubilaciones</v>
          </cell>
        </row>
        <row r="605">
          <cell r="J605" t="str">
            <v>4.07.01.01.03 Becas escolares</v>
          </cell>
        </row>
        <row r="606">
          <cell r="J606" t="str">
            <v>4.07.01.01.04 Becas universitarias en el país</v>
          </cell>
        </row>
        <row r="607">
          <cell r="J607" t="str">
            <v>4.07.01.01.05 Becas de perfeccionamiento profesional en el país</v>
          </cell>
        </row>
        <row r="608">
          <cell r="J608" t="str">
            <v>4.07.01.01.06 Becas para estudios en el extranjero</v>
          </cell>
        </row>
        <row r="609">
          <cell r="J609" t="str">
            <v>4.07.01.01.07 Otras becas</v>
          </cell>
        </row>
        <row r="610">
          <cell r="J610" t="str">
            <v>4.07.01.01.08 Previsión por accidentes de trabajo</v>
          </cell>
        </row>
        <row r="611">
          <cell r="J611" t="str">
            <v>4.07.01.01.09 Aguinaldos al personal pensionado</v>
          </cell>
        </row>
        <row r="612">
          <cell r="J612" t="str">
            <v>4.07.01.01.10 Aportes a caja de ahorro del personal pensionado</v>
          </cell>
        </row>
        <row r="613">
          <cell r="J613" t="str">
            <v>4.07.01.01.11 Aportes a los servicios de salud, accidentes personales y gastos funerarios del personal pensionado</v>
          </cell>
        </row>
        <row r="614">
          <cell r="J614" t="str">
            <v>4.07.01.01.12 Otras subvenciones socio - económicas del personal pensionado</v>
          </cell>
        </row>
        <row r="615">
          <cell r="J615" t="str">
            <v>4.07.01.01.13 Aguinaldos al personal jubilado</v>
          </cell>
        </row>
        <row r="616">
          <cell r="J616" t="str">
            <v>4.07.01.01.14 Aportes a caja de ahorro del personal jubilado</v>
          </cell>
        </row>
        <row r="617">
          <cell r="J617" t="str">
            <v>4.07.01.01.15 Aportes a los servicios de salud, accidentes personales y gastos funerarios del personal jubilado</v>
          </cell>
        </row>
        <row r="618">
          <cell r="J618" t="str">
            <v>4.07.01.01.16 Otras subvenciones socio - económicas del personal jubilado</v>
          </cell>
        </row>
        <row r="619">
          <cell r="J619" t="str">
            <v>4.07.01.01.30 Incapacidad temporal sin hospitalización</v>
          </cell>
        </row>
        <row r="620">
          <cell r="J620" t="str">
            <v>4.07.01.01.31 Incapacidad temporal con hospitalización</v>
          </cell>
        </row>
        <row r="621">
          <cell r="J621" t="str">
            <v>4.07.01.01.32 Reposo por maternidad</v>
          </cell>
        </row>
        <row r="622">
          <cell r="J622" t="str">
            <v>4.07.01.01.33 Indemnización por paro forzoso</v>
          </cell>
        </row>
        <row r="623">
          <cell r="J623" t="str">
            <v>4.07.01.01.34 Otros tipos de incapacidad temporal</v>
          </cell>
        </row>
        <row r="624">
          <cell r="J624" t="str">
            <v>4.07.01.01.35 Indemnización por comisión por pensiones</v>
          </cell>
        </row>
        <row r="625">
          <cell r="J625" t="str">
            <v>4.07.01.01.36 Indemnización por comisión por cesantía</v>
          </cell>
        </row>
        <row r="626">
          <cell r="J626" t="str">
            <v>4.07.01.01.37 Incapacidad parcial</v>
          </cell>
        </row>
        <row r="627">
          <cell r="J627" t="str">
            <v>4.07.01.01.38 Invalidez</v>
          </cell>
        </row>
        <row r="628">
          <cell r="J628" t="str">
            <v>4.07.01.01.39 Pensiones por vejez, viudez y orfandad</v>
          </cell>
        </row>
        <row r="629">
          <cell r="J629" t="str">
            <v>4.07.01.01.40 Indemnización por cesantía</v>
          </cell>
        </row>
        <row r="630">
          <cell r="J630" t="str">
            <v>4.07.01.01.41 Otras pensiones y demás prestaciones en dinero</v>
          </cell>
        </row>
        <row r="631">
          <cell r="J631" t="str">
            <v>4.07.01.01.42 Incapacidad parcial por accidente común</v>
          </cell>
        </row>
        <row r="632">
          <cell r="J632" t="str">
            <v>4.07.01.01.43 Incapacidad parcial por enfermedades profesionales</v>
          </cell>
        </row>
        <row r="633">
          <cell r="J633" t="str">
            <v>4.07.01.01.44 Incapacidad parcial por accidente de trabajo</v>
          </cell>
        </row>
        <row r="634">
          <cell r="J634" t="str">
            <v>4.07.01.01.45 Indemnización única por invalidez</v>
          </cell>
        </row>
        <row r="635">
          <cell r="J635" t="str">
            <v>4.07.01.01.46 Indemnización única por vejez</v>
          </cell>
        </row>
        <row r="636">
          <cell r="J636" t="str">
            <v>4.07.01.01.47 Sobrevivientes por enfermedad común</v>
          </cell>
        </row>
        <row r="637">
          <cell r="J637" t="str">
            <v>4.07.01.01.48 Sobrevivientes por accidente común</v>
          </cell>
        </row>
        <row r="638">
          <cell r="J638" t="str">
            <v>4.07.01.01.49 Sobrevivientes por enfermedades profesionales</v>
          </cell>
        </row>
        <row r="639">
          <cell r="J639" t="str">
            <v>4.07.01.01.50 Sobrevivientes por accidentes de trabajo</v>
          </cell>
        </row>
        <row r="640">
          <cell r="J640" t="str">
            <v>4.07.01.01.51 Indemnizaciones por conmutación de renta</v>
          </cell>
        </row>
        <row r="641">
          <cell r="J641" t="str">
            <v>4.07.01.01.52 Indemnizaciones por conmutación de pensiones</v>
          </cell>
        </row>
        <row r="642">
          <cell r="J642" t="str">
            <v>4.07.01.01.53 Indemnizaciones por comisión de renta</v>
          </cell>
        </row>
        <row r="643">
          <cell r="J643" t="str">
            <v>4.07.01.01.54 Asignación por nupcias</v>
          </cell>
        </row>
        <row r="644">
          <cell r="J644" t="str">
            <v>4.07.01.01.55 Asignación por funeraria</v>
          </cell>
        </row>
        <row r="645">
          <cell r="J645" t="str">
            <v>4.07.01.01.56 Otras asignaciones</v>
          </cell>
        </row>
        <row r="646">
          <cell r="J646" t="str">
            <v>4.07.01.01.70 Subsidios educacionales al sector privado</v>
          </cell>
        </row>
        <row r="647">
          <cell r="J647" t="str">
            <v>4.07.01.01.71 Subsidios a universidades privadas</v>
          </cell>
        </row>
        <row r="648">
          <cell r="J648" t="str">
            <v>4.07.01.01.72 Subsidios culturales al sector privado</v>
          </cell>
        </row>
        <row r="649">
          <cell r="J649" t="str">
            <v>4.07.01.01.73 Subsidios a instituciones benéficas privadas</v>
          </cell>
        </row>
        <row r="650">
          <cell r="J650" t="str">
            <v>4.07.01.01.74 Subsidios a centros de empleados</v>
          </cell>
        </row>
        <row r="651">
          <cell r="J651" t="str">
            <v>4.07.01.01.75 Subsidios a organismos laborales y gremiales</v>
          </cell>
        </row>
        <row r="652">
          <cell r="J652" t="str">
            <v>4.07.01.01.76 Subsidios a entidades religiosas</v>
          </cell>
        </row>
        <row r="653">
          <cell r="J653" t="str">
            <v>4.07.01.01.77 Subsidios a entidades deportivas y recreativas de carácter privado</v>
          </cell>
        </row>
        <row r="654">
          <cell r="J654" t="str">
            <v>4.07.01.01.78 Subsidios científicos al sector privado</v>
          </cell>
        </row>
        <row r="655">
          <cell r="J655" t="str">
            <v>4.07.01.01.79 Subsidios a cooperativas</v>
          </cell>
        </row>
        <row r="656">
          <cell r="J656" t="str">
            <v>4.07.01.01.80 Subsidios a empresas privadas</v>
          </cell>
        </row>
        <row r="657">
          <cell r="J657" t="str">
            <v>4.07.01.01.99 Otras transferencias corrientes internas al sector privado</v>
          </cell>
        </row>
        <row r="658">
          <cell r="J658" t="str">
            <v>4.07.01.02.00 Donaciones corrientes internas al sector privado</v>
          </cell>
        </row>
        <row r="659">
          <cell r="J659" t="str">
            <v>4.07.01.02.01 Donaciones corrientes a personas</v>
          </cell>
        </row>
        <row r="660">
          <cell r="J660" t="str">
            <v>4.07.01.02.02 Donaciones corrientes a instituciones sin fines de lucro</v>
          </cell>
        </row>
        <row r="661">
          <cell r="J661" t="str">
            <v>4.07.01.03.00 Transferencias corrientes internas al sector público</v>
          </cell>
        </row>
        <row r="662">
          <cell r="J662" t="str">
            <v>4.07.01.03.01 Transferencias corrientes a la República</v>
          </cell>
        </row>
        <row r="663">
          <cell r="J663" t="str">
            <v>4.07.01.03.02 Transferencias corrientes a entes descentralizados sin fines empresariales</v>
          </cell>
        </row>
        <row r="664">
          <cell r="J664" t="str">
            <v>4.07.01.03.03 Transferencias corrientes a entes descentralizados sin fines empresariales para atender beneficios de la seguridad social</v>
          </cell>
        </row>
        <row r="665">
          <cell r="J665" t="str">
            <v>4.07.01.03.04 Transferencias corrientes a instituciones de protección social</v>
          </cell>
        </row>
        <row r="666">
          <cell r="J666" t="str">
            <v>4.07.01.03.05 Transferencias corrientes a instituciones de protección social para atender beneficios de la seguridad social</v>
          </cell>
        </row>
        <row r="667">
          <cell r="J667" t="str">
            <v>4.07.01.03.06 Transferencias corrientes a entes descentralizados con fines empresariales petroleros</v>
          </cell>
        </row>
        <row r="668">
          <cell r="J668" t="str">
            <v>4.07.01.03.07 Transferencias corrientes a entes descentralizados con fines empresariales no petroleros</v>
          </cell>
        </row>
        <row r="669">
          <cell r="J669" t="str">
            <v>4.07.01.03.08 Transferencias corrientes a entes descentralizados financieros bancarios</v>
          </cell>
        </row>
        <row r="670">
          <cell r="J670" t="str">
            <v>4.07.01.03.09 Transferencias corrientes a entes descentralizados financieros no bancarios</v>
          </cell>
        </row>
        <row r="671">
          <cell r="J671" t="str">
            <v>4.07.01.03.10 Transferencias corrientes al Poder Estadal</v>
          </cell>
        </row>
        <row r="672">
          <cell r="J672" t="str">
            <v>4.07.01.03.11 Transferencias corrientes al Poder Municipal</v>
          </cell>
        </row>
        <row r="673">
          <cell r="J673" t="str">
            <v>4.07.01.03.13 Subsidios otorgados por normas externas</v>
          </cell>
        </row>
        <row r="674">
          <cell r="J674" t="str">
            <v>4.07.01.03.14 Incentivos otorgados por normas externas</v>
          </cell>
        </row>
        <row r="675">
          <cell r="J675" t="str">
            <v>4.07.01.03.15 Subsidios otorgados por precios políticos</v>
          </cell>
        </row>
        <row r="676">
          <cell r="J676" t="str">
            <v>4.07.01.03.16 Subsidios de costos sociales por normas externas</v>
          </cell>
        </row>
        <row r="677">
          <cell r="J677" t="str">
            <v>4.07.01.03.99 Otras transferencias corrientes internas al sector público</v>
          </cell>
        </row>
        <row r="678">
          <cell r="J678" t="str">
            <v>4.07.01.04.00 Donaciones corrientes internas al sector público</v>
          </cell>
        </row>
        <row r="679">
          <cell r="J679" t="str">
            <v>4.07.01.04.01 Donaciones corrientes a la República</v>
          </cell>
        </row>
        <row r="680">
          <cell r="J680" t="str">
            <v>4.07.01.04.02 Donaciones corrientes a entes descentralizados sin fines empresariales</v>
          </cell>
        </row>
        <row r="681">
          <cell r="J681" t="str">
            <v>4.07.01.04.03 Donaciones corrientes a instituciones de protección social</v>
          </cell>
        </row>
        <row r="682">
          <cell r="J682" t="str">
            <v>4.07.01.04.04 Donaciones corrientes a entes descentralizados con fines empresariales petroleros</v>
          </cell>
        </row>
        <row r="683">
          <cell r="J683" t="str">
            <v>4.07.01.04.05 Donaciones corrientes a entes descentralizados con fines empresariales no petroleros</v>
          </cell>
        </row>
        <row r="684">
          <cell r="J684" t="str">
            <v>4.07.01.04.06 Donaciones corrientes a entes descentralizados financieros bancarios</v>
          </cell>
        </row>
        <row r="685">
          <cell r="J685" t="str">
            <v>4.07.01.04.07 Donaciones corrientes a entes descentralizados financieros no bancarios</v>
          </cell>
        </row>
        <row r="686">
          <cell r="J686" t="str">
            <v>4.07.01.04.08 Donaciones corrientes al Poder Estadal</v>
          </cell>
        </row>
        <row r="687">
          <cell r="J687" t="str">
            <v>4.07.01.04.09 Donaciones corrientes al Poder Municipal</v>
          </cell>
        </row>
        <row r="688">
          <cell r="J688" t="str">
            <v>4.07.02.00.00 Transferencias y donaciones corrientes al exterior</v>
          </cell>
        </row>
        <row r="689">
          <cell r="J689" t="str">
            <v>4.07.02.01.00 Transferencias corrientes al exterior</v>
          </cell>
        </row>
        <row r="690">
          <cell r="J690" t="str">
            <v>4.07.02.01.01 Becas de capacitación e investigación en el exterior</v>
          </cell>
        </row>
        <row r="691">
          <cell r="J691" t="str">
            <v>4.07.02.01.02 Transferencias corrientes a instituciones sin fines de lucro</v>
          </cell>
        </row>
        <row r="692">
          <cell r="J692" t="str">
            <v>4.07.02.01.03 Transferencias corrientes a gobiernos extranjeros</v>
          </cell>
        </row>
        <row r="693">
          <cell r="J693" t="str">
            <v>4.07.02.01.04 Transferencias corrientes a organismos internacionales</v>
          </cell>
        </row>
        <row r="694">
          <cell r="J694" t="str">
            <v>4.07.02.02.00 Donaciones corrientes al exterior</v>
          </cell>
        </row>
        <row r="695">
          <cell r="J695" t="str">
            <v>4.07.02.02.01 Donaciones corrientes a personas</v>
          </cell>
        </row>
        <row r="696">
          <cell r="J696" t="str">
            <v>4.07.02.02.02 Donaciones corrientes a instituciones sin fines de lucro</v>
          </cell>
        </row>
        <row r="697">
          <cell r="J697" t="str">
            <v>4.07.02.02.03 Donaciones corrientes a gobiernos extranjeros</v>
          </cell>
        </row>
        <row r="698">
          <cell r="J698" t="str">
            <v>4.07.02.02.04 Donaciones corrientes a organismos internacionales</v>
          </cell>
        </row>
        <row r="699">
          <cell r="J699" t="str">
            <v>4.07.03.00.00 Transferencias y donaciones de capital internas</v>
          </cell>
        </row>
        <row r="700">
          <cell r="J700" t="str">
            <v>4.07.03.01.00 Transferencias de capital internas al sector privado</v>
          </cell>
        </row>
        <row r="701">
          <cell r="J701" t="str">
            <v>4.07.03.01.01 Transferencias de capital a personas</v>
          </cell>
        </row>
        <row r="702">
          <cell r="J702" t="str">
            <v>4.07.03.01.02 Transferencias de capital a instituciones sin fines de lucro</v>
          </cell>
        </row>
        <row r="703">
          <cell r="J703" t="str">
            <v>4.07.03.01.03 Transferencias de capital a empresas privadas</v>
          </cell>
        </row>
        <row r="704">
          <cell r="J704" t="str">
            <v>4.07.03.02.00 Donaciones de capital internas al sector privado</v>
          </cell>
        </row>
        <row r="705">
          <cell r="J705" t="str">
            <v>4.07.03.02.01 Donaciones de capital a personas</v>
          </cell>
        </row>
        <row r="706">
          <cell r="J706" t="str">
            <v>4.07.03.02.02 Donaciones de capital a instituciones sin fines de lucro</v>
          </cell>
        </row>
        <row r="707">
          <cell r="J707" t="str">
            <v>4.07.03.03.00 Transferencias de capital internas al sector público</v>
          </cell>
        </row>
        <row r="708">
          <cell r="J708" t="str">
            <v>4.07.03.03.01 Transferencias de capital a la República</v>
          </cell>
        </row>
        <row r="709">
          <cell r="J709" t="str">
            <v>4.07.03.03.02 Transferencias de capital a entes descentralizados sin fines empresariales</v>
          </cell>
        </row>
        <row r="710">
          <cell r="J710" t="str">
            <v>4.07.03.03.03 Transferencias de capital a instituciones de protección social</v>
          </cell>
        </row>
        <row r="711">
          <cell r="J711" t="str">
            <v>4.07.03.03.04 Transferencias de capital a entes descentralizados con fines empresariales petroleros</v>
          </cell>
        </row>
        <row r="712">
          <cell r="J712" t="str">
            <v>4.07.03.03.05 Transferencias de capital a entes descentralizados con fines empresariales no petroleros</v>
          </cell>
        </row>
        <row r="713">
          <cell r="J713" t="str">
            <v>4.07.03.03.06 Transferencias de capital a entes descentralizados financieros bancarios</v>
          </cell>
        </row>
        <row r="714">
          <cell r="J714" t="str">
            <v>4.07.03.03.07 Transferencias de capital a entes descentralizados financieros no bancarios</v>
          </cell>
        </row>
        <row r="715">
          <cell r="J715" t="str">
            <v>4.07.03.03.08 Transferencias de capital al Poder Estadal</v>
          </cell>
        </row>
        <row r="716">
          <cell r="J716" t="str">
            <v>4.07.03.03.09 Transferencias de capital al Poder Municipal</v>
          </cell>
        </row>
        <row r="717">
          <cell r="J717" t="str">
            <v>4.07.03.03.99 Otras transferencias de capital internas al sector público</v>
          </cell>
        </row>
        <row r="718">
          <cell r="J718" t="str">
            <v>4.07.03.04.00 Donaciones de capital internas al sector público</v>
          </cell>
        </row>
        <row r="719">
          <cell r="J719" t="str">
            <v>4.07.03.04.01 Donaciones de capital a la República</v>
          </cell>
        </row>
        <row r="720">
          <cell r="J720" t="str">
            <v>4.07.03.04.02 Donaciones de capital a entes descentralizados sin fines empresariales</v>
          </cell>
        </row>
        <row r="721">
          <cell r="J721" t="str">
            <v>4.07.03.04.03 Donaciones de capital a instituciones de protección social</v>
          </cell>
        </row>
        <row r="722">
          <cell r="J722" t="str">
            <v>4.07.03.04.04 Donaciones de capital a entes descentralizados con fines empresariales petroleros</v>
          </cell>
        </row>
        <row r="723">
          <cell r="J723" t="str">
            <v>4.07.03.04.05 Donaciones de capital a entes descentralizados con fines empresariales no petroleros</v>
          </cell>
        </row>
        <row r="724">
          <cell r="J724" t="str">
            <v>4.07.03.04.06 Donaciones de capital a entes descentralizados financieros bancarios</v>
          </cell>
        </row>
        <row r="725">
          <cell r="J725" t="str">
            <v>4.07.03.04.07 Donaciones de capital a entes descentralizados financieros no bancarios</v>
          </cell>
        </row>
        <row r="726">
          <cell r="J726" t="str">
            <v>4.07.03.04.08 Donaciones de capital al Poder Estadal</v>
          </cell>
        </row>
        <row r="727">
          <cell r="J727" t="str">
            <v>4.07.03.04.09 Donaciones de capital al Poder Municipal</v>
          </cell>
        </row>
        <row r="728">
          <cell r="J728" t="str">
            <v>4.07.04.00.00 Transferencias y donaciones de capital al exterior</v>
          </cell>
        </row>
        <row r="729">
          <cell r="J729" t="str">
            <v>4.07.04.01.00 Transferencias de capital al exterior</v>
          </cell>
        </row>
        <row r="730">
          <cell r="J730" t="str">
            <v>4.07.04.01.01 Transferencias de capital a personas</v>
          </cell>
        </row>
        <row r="731">
          <cell r="J731" t="str">
            <v>4.07.04.01.02 Transferencias de capital a instituciones sin fines de lucro</v>
          </cell>
        </row>
        <row r="732">
          <cell r="J732" t="str">
            <v>4.07.04.01.03 Transferencias de capital a gobiernos extranjeros</v>
          </cell>
        </row>
        <row r="733">
          <cell r="J733" t="str">
            <v>4.07.04.01.04 Transferencias de capital a organismos internacionales</v>
          </cell>
        </row>
        <row r="734">
          <cell r="J734" t="str">
            <v>4.07.04.02.00 Donaciones de capital al exterior</v>
          </cell>
        </row>
        <row r="735">
          <cell r="J735" t="str">
            <v>4.07.04.02.01 Donaciones de capital a personas</v>
          </cell>
        </row>
        <row r="736">
          <cell r="J736" t="str">
            <v>4.07.04.02.02 Donaciones de capital a instituciones sin fines de lucro</v>
          </cell>
        </row>
        <row r="737">
          <cell r="J737" t="str">
            <v>4.07.04.02.03 Donaciones de capital a gobiernos extranjeros</v>
          </cell>
        </row>
        <row r="738">
          <cell r="J738" t="str">
            <v>4.07.04.02.04 Donaciones de capital a organismos internacionales</v>
          </cell>
        </row>
        <row r="739">
          <cell r="J739" t="str">
            <v>4.07.05.00.00 Situado</v>
          </cell>
        </row>
        <row r="740">
          <cell r="J740" t="str">
            <v>4.07.05.01.00 Situado Constitucional</v>
          </cell>
        </row>
        <row r="741">
          <cell r="J741" t="str">
            <v>4.07.05.01.01 Situado Estadal</v>
          </cell>
        </row>
        <row r="742">
          <cell r="J742" t="str">
            <v>4.07.05.01.02 Situado Municipal</v>
          </cell>
        </row>
        <row r="743">
          <cell r="J743" t="str">
            <v>4.07.05.02.00 Situado Estadal a Municipal</v>
          </cell>
        </row>
        <row r="744">
          <cell r="J744" t="str">
            <v>4.07.06.00.00 Subsidio de Régimen Especial</v>
          </cell>
        </row>
        <row r="745">
          <cell r="J745" t="str">
            <v>4.07.06.01.00 Subsidio de Régimen Especial</v>
          </cell>
        </row>
        <row r="746">
          <cell r="J746" t="str">
            <v>4.07.07.00.00 Subsidio de capitalidad</v>
          </cell>
        </row>
        <row r="747">
          <cell r="J747" t="str">
            <v>4.07.07.01.00 Subsidio de capitalidad</v>
          </cell>
        </row>
        <row r="748">
          <cell r="J748" t="str">
            <v>4.07.08.00.00 Asignaciones Económicas Especiales (LAEE)</v>
          </cell>
        </row>
        <row r="749">
          <cell r="J749" t="str">
            <v>4.07.08.01.00 Asignaciones Económicas Especiales (LAEE) Estadal</v>
          </cell>
        </row>
        <row r="750">
          <cell r="J750" t="str">
            <v>4.07.08.02.00 Asignaciones Económicas Especiales (LAEE) Estadal a Municipal</v>
          </cell>
        </row>
        <row r="751">
          <cell r="J751" t="str">
            <v>4.07.08.03.00 Asignaciones Económicas Especiales (LAEE) Municipal</v>
          </cell>
        </row>
        <row r="752">
          <cell r="J752" t="str">
            <v>4.07.08.04.00 Asignaciones Económicas Especiales (LAEE) Fondo Nacional de los Consejos Comunales</v>
          </cell>
        </row>
        <row r="753">
          <cell r="J753" t="str">
            <v>4.07.08.05.00 Asignaciones Económicas Especiales (LAEE) Apoyo al Fortalecimiento Institucional</v>
          </cell>
        </row>
        <row r="754">
          <cell r="J754" t="str">
            <v>4.07.09.00.00 Aportes a los Estados y Municipios por transferencia de servicios</v>
          </cell>
        </row>
        <row r="755">
          <cell r="J755" t="str">
            <v>4.07.09.01.00 Aportes a los Estados por transferencia de servicios</v>
          </cell>
        </row>
        <row r="756">
          <cell r="J756" t="str">
            <v>4.07.09.02.00 Aportes a los Municipios por transferencia de servicios</v>
          </cell>
        </row>
        <row r="757">
          <cell r="J757" t="str">
            <v>4.07.10.00.00 Fondo Intergubernamental para la Descentralización (FIDES)</v>
          </cell>
        </row>
        <row r="758">
          <cell r="J758" t="str">
            <v>4.07.10.01.00 Fondo Intergubernamental para la Descentralización (FIDES)</v>
          </cell>
        </row>
        <row r="759">
          <cell r="J759" t="str">
            <v>4.07.11.00.00 Fondo de Compensación Interterritorial</v>
          </cell>
        </row>
        <row r="760">
          <cell r="J760" t="str">
            <v>4.07.11.01.00 Fondo de Compensación Interterritorial Estadal</v>
          </cell>
        </row>
        <row r="761">
          <cell r="J761" t="str">
            <v>4.07.11.02.00 Fondo de Compensación Interterritorial Municipal</v>
          </cell>
        </row>
        <row r="762">
          <cell r="J762" t="str">
            <v>4.07.11.03.00 Fondo de Compensación Interterritorial Poder Popular</v>
          </cell>
        </row>
        <row r="763">
          <cell r="J763" t="str">
            <v>4.07.11.04.00 Fondo de Compensación Interterritorial Fortalecimiento Institucional</v>
          </cell>
        </row>
        <row r="764">
          <cell r="J764" t="str">
            <v>4.07.12.00.00 Transferencias y donaciones a Consejos Comunales</v>
          </cell>
        </row>
        <row r="765">
          <cell r="J765" t="str">
            <v>4.07.12.01.00 Transferencias y donaciones corrientes a Consejos Comunales</v>
          </cell>
        </row>
        <row r="766">
          <cell r="J766" t="str">
            <v>4.07.12.01.01 Transferencias corrientes a Consejos Comunales</v>
          </cell>
        </row>
        <row r="767">
          <cell r="J767" t="str">
            <v>4.07.12.01.02 Donaciones corrientes a Consejos Comunales</v>
          </cell>
        </row>
        <row r="768">
          <cell r="J768" t="str">
            <v>4.07.12.02.00 Transferencias y donaciones de capital a Consejos Comunales</v>
          </cell>
        </row>
        <row r="769">
          <cell r="J769" t="str">
            <v>4.07.12.02.01 Transferencias de capital a Consejos Comunales</v>
          </cell>
        </row>
        <row r="770">
          <cell r="J770" t="str">
            <v>4.07.12.02.02 Donaciones de capital a Consejos Comunales</v>
          </cell>
        </row>
        <row r="771">
          <cell r="J771" t="str">
            <v>4.08.00.00.00 OTROS GASTOS</v>
          </cell>
        </row>
        <row r="772">
          <cell r="J772" t="str">
            <v>4.08.01.00.00 Depreciación y amortización</v>
          </cell>
        </row>
        <row r="773">
          <cell r="J773" t="str">
            <v>4.08.01.01.00 Depreciación</v>
          </cell>
        </row>
        <row r="774">
          <cell r="J774" t="str">
            <v>4.08.01.01.01 Depreciación de edificios e instalaciones</v>
          </cell>
        </row>
        <row r="775">
          <cell r="J775" t="str">
            <v>4.08.01.01.02 Depreciación de maquinaria y demás equipos de construcción, campo, industria y taller</v>
          </cell>
        </row>
        <row r="776">
          <cell r="J776" t="str">
            <v>4.08.01.01.03 Depreciación de equipos de transporte, tracción y elevación</v>
          </cell>
        </row>
        <row r="777">
          <cell r="J777" t="str">
            <v>4.08.01.01.04 Depreciación de equipos de comunicaciones y de señalamiento</v>
          </cell>
        </row>
        <row r="778">
          <cell r="J778" t="str">
            <v>4.08.01.01.05 Depreciación de equipos médico - quirúrgicos, dentales y de veterinaria</v>
          </cell>
        </row>
        <row r="779">
          <cell r="J779" t="str">
            <v>4.08.01.01.06 Depreciación de equipos científicos, religiosos, de enseñanza y recreación</v>
          </cell>
        </row>
        <row r="780">
          <cell r="J780" t="str">
            <v>4.08.01.01.07 Depreciación de equipos para la seguridad pública</v>
          </cell>
        </row>
        <row r="781">
          <cell r="J781" t="str">
            <v>4.08.01.01.08 Depreciación de máquinas, muebles y demás equipos de oficina y alojamiento</v>
          </cell>
        </row>
        <row r="782">
          <cell r="J782" t="str">
            <v>4.08.01.01.09 Depreciación de semovientes</v>
          </cell>
        </row>
        <row r="783">
          <cell r="J783" t="str">
            <v>4.08.01.01.99 Depreciación de otros bienes de uso</v>
          </cell>
        </row>
        <row r="784">
          <cell r="J784" t="str">
            <v>4.08.01.02.00 Amortización</v>
          </cell>
        </row>
        <row r="785">
          <cell r="J785" t="str">
            <v>4.08.01.02.01 Amortización de marcas de fábrica y patentes de invención</v>
          </cell>
        </row>
        <row r="786">
          <cell r="J786" t="str">
            <v>4.08.01.02.02 Amortización de derechos de autor</v>
          </cell>
        </row>
        <row r="787">
          <cell r="J787" t="str">
            <v>4.08.01.02.03 Amortización de gastos de organización</v>
          </cell>
        </row>
        <row r="788">
          <cell r="J788" t="str">
            <v>4.08.01.02.04 Amortización de paquetes y programas de computación</v>
          </cell>
        </row>
        <row r="789">
          <cell r="J789" t="str">
            <v>4.08.01.02.05 Amortización de estudios y proyectos</v>
          </cell>
        </row>
        <row r="790">
          <cell r="J790" t="str">
            <v>4.08.01.02.99 Amortización de otros activos intangibles</v>
          </cell>
        </row>
        <row r="791">
          <cell r="J791" t="str">
            <v>4.08.02.00.00 Intereses por operaciones financieras</v>
          </cell>
        </row>
        <row r="792">
          <cell r="J792" t="str">
            <v>4.08.02.01.00 Intereses por depósitos internos</v>
          </cell>
        </row>
        <row r="793">
          <cell r="J793" t="str">
            <v>4.08.02.02.00 Intereses por títulos y valores</v>
          </cell>
        </row>
        <row r="794">
          <cell r="J794" t="str">
            <v>4.08.02.03.00 Intereses por otros financiamientos</v>
          </cell>
        </row>
        <row r="795">
          <cell r="J795" t="str">
            <v>4.08.03.00.00 Gastos por operaciones de seguro</v>
          </cell>
        </row>
        <row r="796">
          <cell r="J796" t="str">
            <v>4.08.03.01.00 Gastos de siniestros</v>
          </cell>
        </row>
        <row r="797">
          <cell r="J797" t="str">
            <v>4.08.03.02.00 Gastos de operaciones de reaseguros</v>
          </cell>
        </row>
        <row r="798">
          <cell r="J798" t="str">
            <v>4.08.03.99.00 Otros gastos de operaciones de seguro</v>
          </cell>
        </row>
        <row r="799">
          <cell r="J799" t="str">
            <v>4.08.04.00.00 Pérdida en operaciones de los servicios básicos</v>
          </cell>
        </row>
        <row r="800">
          <cell r="J800" t="str">
            <v>4.08.04.01.00 Pérdidas en el proceso de distribución de los servicios</v>
          </cell>
        </row>
        <row r="801">
          <cell r="J801" t="str">
            <v>4.08.04.99.00 Otras pérdidas en operación</v>
          </cell>
        </row>
        <row r="802">
          <cell r="J802" t="str">
            <v>4.08.05.00.00 Obligaciones en el ejercicio vigente</v>
          </cell>
        </row>
        <row r="803">
          <cell r="J803" t="str">
            <v>4.08.05.01.00 Devoluciones de cobros indebidos</v>
          </cell>
        </row>
        <row r="804">
          <cell r="J804" t="str">
            <v>4.08.05.02.00 Devoluciones y reintegros diversos</v>
          </cell>
        </row>
        <row r="805">
          <cell r="J805" t="str">
            <v>4.08.05.03.00 Indemnizaciones diversas</v>
          </cell>
        </row>
        <row r="806">
          <cell r="J806" t="str">
            <v>4.08.06.00.00 Pérdidas ajenas a la operación</v>
          </cell>
        </row>
        <row r="807">
          <cell r="J807" t="str">
            <v>4.08.06.01.00 Pérdidas en inventarios</v>
          </cell>
        </row>
        <row r="808">
          <cell r="J808" t="str">
            <v>4.08.06.02.00 Pérdidas en operaciones cambiarias</v>
          </cell>
        </row>
        <row r="809">
          <cell r="J809" t="str">
            <v>4.08.06.03.00 Pérdidas en ventas de activos</v>
          </cell>
        </row>
        <row r="810">
          <cell r="J810" t="str">
            <v>4.08.06.04.00 Pérdidas por cuentas incobrables</v>
          </cell>
        </row>
        <row r="811">
          <cell r="J811" t="str">
            <v>4.08.06.05.00 Participación en pérdidas de otras empresas</v>
          </cell>
        </row>
        <row r="812">
          <cell r="J812" t="str">
            <v>4.08.06.06.00 Pérdidas por auto-seguro</v>
          </cell>
        </row>
        <row r="813">
          <cell r="J813" t="str">
            <v>4.08.06.07.00 Impuestos directos</v>
          </cell>
        </row>
        <row r="814">
          <cell r="J814" t="str">
            <v>4.08.06.08.00 Intereses de mora</v>
          </cell>
        </row>
        <row r="815">
          <cell r="J815" t="str">
            <v>4.08.06.09.00 Reservas técnicas</v>
          </cell>
        </row>
        <row r="816">
          <cell r="J816" t="str">
            <v>4.08.07.00.00 Descuentos, bonificaciones y devoluciones</v>
          </cell>
        </row>
        <row r="817">
          <cell r="J817" t="str">
            <v>4.08.07.01.00 Descuentos sobre ventas</v>
          </cell>
        </row>
        <row r="818">
          <cell r="J818" t="str">
            <v>4.08.07.02.00 Bonificaciones por ventas</v>
          </cell>
        </row>
        <row r="819">
          <cell r="J819" t="str">
            <v>4.08.07.03.00 Devoluciones por ventas</v>
          </cell>
        </row>
        <row r="820">
          <cell r="J820" t="str">
            <v>4.08.07.04.00 Devoluciones por primas de seguro</v>
          </cell>
        </row>
        <row r="821">
          <cell r="J821" t="str">
            <v>4.08.08.00.00 Indemnizaciones y sanciones pecuniarias</v>
          </cell>
        </row>
        <row r="822">
          <cell r="J822" t="str">
            <v>4.08.08.01.00 Indemnizaciones por daños y perjuicios</v>
          </cell>
        </row>
        <row r="823">
          <cell r="J823" t="str">
            <v>4.08.08.01.01 Indemnizaciones por daños y perjuicios ocasionados por organismos de la República, del Poder Estadal y del Poder Municipal</v>
          </cell>
        </row>
        <row r="824">
          <cell r="J824" t="str">
            <v>4.08.08.01.02 Indemnizaciones por daños y perjuicios ocasionados por entes descentralizados sin fines empresariales</v>
          </cell>
        </row>
        <row r="825">
          <cell r="J825" t="str">
            <v>4.08.08.01.03 Indemnizaciones por daños y perjuicios ocasionados por entes descentralizados con fines empresariales</v>
          </cell>
        </row>
        <row r="826">
          <cell r="J826" t="str">
            <v>4.08.08.02.00 Sanciones pecuniarias</v>
          </cell>
        </row>
        <row r="827">
          <cell r="J827" t="str">
            <v>4.08.08.02.01 Sanciones pecuniarias impuestas a los organismos de la República, del Poder Estadal y del Poder Municipal</v>
          </cell>
        </row>
        <row r="828">
          <cell r="J828" t="str">
            <v>4.08.08.02.02 Sanciones pecuniarias impuestas a los entes descentralizados sin fines empresariales</v>
          </cell>
        </row>
        <row r="829">
          <cell r="J829" t="str">
            <v>4.08.08.02.03 Sanciones pecuniarias impuestas a los entes descentralizados con fines empresariales</v>
          </cell>
        </row>
        <row r="830">
          <cell r="J830" t="str">
            <v>4.08.99.00.00 Otros gastos</v>
          </cell>
        </row>
        <row r="831">
          <cell r="J831" t="str">
            <v>4.08.99.01.00 Otros gastos</v>
          </cell>
        </row>
        <row r="832">
          <cell r="J832" t="str">
            <v>4.09.00.00.00 ASIGNACIONES NO DISTRIBUIDAS</v>
          </cell>
        </row>
        <row r="833">
          <cell r="J833" t="str">
            <v>4.09.01.00.00 Asignaciones no distribuidas de la Asamblea Nacional</v>
          </cell>
        </row>
        <row r="834">
          <cell r="J834" t="str">
            <v>4.09.01.01.00 Asignaciones no distribuidas de la Asamblea Nacional</v>
          </cell>
        </row>
        <row r="835">
          <cell r="J835" t="str">
            <v>4.09.02.00.00 Asignaciones no distribuidas de la Contraloría General de la República</v>
          </cell>
        </row>
        <row r="836">
          <cell r="J836" t="str">
            <v>4.09.02.01.00 Asignaciones no distribuidas de la Contraloría General de la República</v>
          </cell>
        </row>
        <row r="837">
          <cell r="J837" t="str">
            <v>4.09.03.00.00 Asignaciones no distribuidas del Consejo Nacional Electoral</v>
          </cell>
        </row>
        <row r="838">
          <cell r="J838" t="str">
            <v>4.09.03.01.00 Asignaciones no distribuidas del Consejo Nacional Electoral</v>
          </cell>
        </row>
        <row r="839">
          <cell r="J839" t="str">
            <v>4.09.04.00.00 Asignaciones no distribuidas del Tribunal Supremo de Justicia</v>
          </cell>
        </row>
        <row r="840">
          <cell r="J840" t="str">
            <v>4.09.04.01.00 Asignaciones no distribuidas del Tribunal Supremo de Justicia</v>
          </cell>
        </row>
        <row r="841">
          <cell r="J841" t="str">
            <v>4.09.05.00.00 Asignaciones no distribuidas del Ministerio Público</v>
          </cell>
        </row>
        <row r="842">
          <cell r="J842" t="str">
            <v>4.09.05.01.00 Asignaciones no distribuidas del Ministerio Público</v>
          </cell>
        </row>
        <row r="843">
          <cell r="J843" t="str">
            <v>4.09.06.00.00 Asignaciones no distribuidas de la Defensoría del Pueblo</v>
          </cell>
        </row>
        <row r="844">
          <cell r="J844" t="str">
            <v>4.09.06.01.00 Asignaciones no distribuidas de la Defensoría del Pueblo</v>
          </cell>
        </row>
        <row r="845">
          <cell r="J845" t="str">
            <v>4.09.07.00.00 Asignaciones no distribuidas del Consejo Moral Republicano</v>
          </cell>
        </row>
        <row r="846">
          <cell r="J846" t="str">
            <v>4.09.07.01.00 Asignaciones no distribuidas del Consejo Moral Republicano</v>
          </cell>
        </row>
        <row r="847">
          <cell r="J847" t="str">
            <v>4.09.08.00.00 Reestructuración de organismos del sector público</v>
          </cell>
        </row>
        <row r="848">
          <cell r="J848" t="str">
            <v>4.09.08.01.00 Reestructuración de organismos del sector público</v>
          </cell>
        </row>
        <row r="849">
          <cell r="J849" t="str">
            <v>4.09.09.00.00 Fondo de apoyo al trabajador y su grupo familiar</v>
          </cell>
        </row>
        <row r="850">
          <cell r="J850" t="str">
            <v>4.09.09.01.00 Fondo de apoyo al trabajador y su grupo familiar de la Administración Pública Nacional</v>
          </cell>
        </row>
        <row r="851">
          <cell r="J851" t="str">
            <v>4.09.09.02.00 Fondo de apoyo al trabajador y su grupo familiar de los Estados y Municipios</v>
          </cell>
        </row>
        <row r="852">
          <cell r="J852" t="str">
            <v>4.09.10.00.00 Reforma de la seguridad social</v>
          </cell>
        </row>
        <row r="853">
          <cell r="J853" t="str">
            <v>4.09.10.01.00 Reforma de la seguridad social</v>
          </cell>
        </row>
        <row r="854">
          <cell r="J854" t="str">
            <v>4.09.11.00.00 Emergencias en el territorio nacional</v>
          </cell>
        </row>
        <row r="855">
          <cell r="J855" t="str">
            <v>4.09.11.01.00 Emergencias en el territorio nacional</v>
          </cell>
        </row>
        <row r="856">
          <cell r="J856" t="str">
            <v>4.09.12.00.00 Fondo para la cancelación de pasivos laborales</v>
          </cell>
        </row>
        <row r="857">
          <cell r="J857" t="str">
            <v>4.09.12.01.00 Fondo para la cancelación de pasivos laborales</v>
          </cell>
        </row>
        <row r="858">
          <cell r="J858" t="str">
            <v>4.09.13.00.00 Fondo para la cancelación de deuda por servicios de electricidad, teléfono, aseo, agua y condominio</v>
          </cell>
        </row>
        <row r="859">
          <cell r="J859" t="str">
            <v>4.09.13.01.00 Fondo para la cancelación de deuda por servicios de electricidad, teléfono, aseo, agua y condominio, de los organismos de la Administración Central</v>
          </cell>
        </row>
        <row r="860">
          <cell r="J860" t="str">
            <v>4.09.13.02.00 Fondo para la cancelación de deuda por servicios de electricidad, teléfono, aseo, agua y condominio, de los organismos de la Administración Descentralizada Nacional</v>
          </cell>
        </row>
        <row r="861">
          <cell r="J861" t="str">
            <v>4.09.14.00.00 Fondo para remuneraciones, pensiones y jubilaciones y otras retribuciones</v>
          </cell>
        </row>
        <row r="862">
          <cell r="J862" t="str">
            <v>4.09.14.01.00 Fondo para remuneraciones, pensiones y jubilaciones y otras retribuciones</v>
          </cell>
        </row>
        <row r="863">
          <cell r="J863" t="str">
            <v>4.09.15.00.00 Fondo para atender compromisos generados de la Ley Orgánica del Trabajo</v>
          </cell>
        </row>
        <row r="864">
          <cell r="J864" t="str">
            <v>4.09.15.01.00 Fondo para atender compromisos generados de la Ley Orgánica del Trabajo</v>
          </cell>
        </row>
        <row r="865">
          <cell r="J865" t="str">
            <v>4.09.16.00.00 Asignaciones para cancelar compromisos pendientes de ejercicios anteriores</v>
          </cell>
        </row>
        <row r="866">
          <cell r="J866" t="str">
            <v>4.09.16.01.00 Asignaciones para cancelar compromisos pendientes de ejercicios anteriores</v>
          </cell>
        </row>
        <row r="867">
          <cell r="J867" t="str">
            <v>4.09.17.00.00 Asignaciones para cancelar la deuda Fogade – Órgano de la República con Competencia en Materia de Finanzas –Banco Central de Venezuela (BCV)</v>
          </cell>
        </row>
        <row r="868">
          <cell r="J868" t="str">
            <v>4.09.17.01.00 Asignaciones para cancelar la deuda Fogade – Órgano de la República con Competencia en Materia de Finanzas – Banco Central de Venezuela (BCV)</v>
          </cell>
        </row>
        <row r="869">
          <cell r="J869" t="str">
            <v>4.09.18.00.00 Asignaciones para atender los gastos de la referenda y elecciones</v>
          </cell>
        </row>
        <row r="870">
          <cell r="J870" t="str">
            <v>4.09.18.01.00 Asignaciones para atender los gastos de la referenda y elecciones</v>
          </cell>
        </row>
        <row r="871">
          <cell r="J871" t="str">
            <v>4.09.19.00.00 Asignaciones para atender los gastos por honorarios profesionales de bufetes internacionales, costas y costos judiciales</v>
          </cell>
        </row>
        <row r="872">
          <cell r="J872" t="str">
            <v>4.09.19.01.00 Asignaciones para atender los gastos por honorarios profesionales de bufetes internacionales, costas y costos judiciales</v>
          </cell>
        </row>
        <row r="873">
          <cell r="J873" t="str">
            <v>4.09.20.00.00 Fondo para atender compromisos generados por la contratación colectiva</v>
          </cell>
        </row>
        <row r="874">
          <cell r="J874" t="str">
            <v>4.09.20.01.00 Fondo para atender compromisos generados por la contratación colectiva</v>
          </cell>
        </row>
        <row r="875">
          <cell r="J875" t="str">
            <v>4.09.21.00.00 Proyecto social especial</v>
          </cell>
        </row>
        <row r="876">
          <cell r="J876" t="str">
            <v>4.09.21.01.00 Proyecto social especial</v>
          </cell>
        </row>
        <row r="877">
          <cell r="J877" t="str">
            <v>4.09.22.00.00 Asignaciones para programas y proyectos financiados con recursos de organismos multilaterales y/o bilaterales</v>
          </cell>
        </row>
        <row r="878">
          <cell r="J878" t="str">
            <v>4.09.22.01.00 Asignaciones para programas y proyectos financiados con recursos de organismos multilaterales y/o bilaterales</v>
          </cell>
        </row>
        <row r="879">
          <cell r="J879" t="str">
            <v>4.09.23.00.00 Asignación para facilitar la preparación de proyectos</v>
          </cell>
        </row>
        <row r="880">
          <cell r="J880" t="str">
            <v>4.09.23.01.00 Asignación para facilitar la preparación de proyectos</v>
          </cell>
        </row>
        <row r="881">
          <cell r="J881" t="str">
            <v>4.09.24.00.00 Programas de inversión para las entidades estadales, municipalidades y otras instituciones</v>
          </cell>
        </row>
        <row r="882">
          <cell r="J882" t="str">
            <v>4.09.24.01.00 Programas de inversión para las entidades estadales, municipalidades y otras instituciones</v>
          </cell>
        </row>
        <row r="883">
          <cell r="J883" t="str">
            <v>4.09.25.00.00 Cancelación de compromisos</v>
          </cell>
        </row>
        <row r="884">
          <cell r="J884" t="str">
            <v>4.09.25.01.00 Cancelación de compromisos</v>
          </cell>
        </row>
        <row r="885">
          <cell r="J885" t="str">
            <v>4.09.26.00.00 Asignaciones para atender gastos de los organismos del sector público</v>
          </cell>
        </row>
        <row r="886">
          <cell r="J886" t="str">
            <v>4.09.26.01.00 Asignaciones para atender gastos de los organismos del sector público</v>
          </cell>
        </row>
        <row r="887">
          <cell r="J887" t="str">
            <v>4.09.27.00.00 Convenio de Cooperación Especial</v>
          </cell>
        </row>
        <row r="888">
          <cell r="J888" t="str">
            <v>4.09.27.01.00 Convenio de Cooperación Especial</v>
          </cell>
        </row>
        <row r="889">
          <cell r="J889" t="str">
            <v>4.10.00.00.00 SERVICIO DE LA DEUDA PÚBLICA</v>
          </cell>
        </row>
        <row r="890">
          <cell r="J890" t="str">
            <v>4.10.01.00.00 Servicio de la deuda pública interna a corto plazo</v>
          </cell>
        </row>
        <row r="891">
          <cell r="J891" t="str">
            <v>4.10.01.01.00 Servicio de la deuda pública interna a corto plazo de títulos y valores</v>
          </cell>
        </row>
        <row r="892">
          <cell r="J892" t="str">
            <v>4.10.01.01.01 Amortización de la deuda pública interna a corto plazo de títulos y valores</v>
          </cell>
        </row>
        <row r="893">
          <cell r="J893" t="str">
            <v>4.10.01.01.02 Amortización de la deuda pública interna a corto plazo de letras del tesoro</v>
          </cell>
        </row>
        <row r="894">
          <cell r="J894" t="str">
            <v>4.10.01.01.03 Intereses de la deuda pública interna a corto plazo de títulos y valores</v>
          </cell>
        </row>
        <row r="895">
          <cell r="J895" t="str">
            <v>4.10.01.01.04 Intereses por mora y multas de la deuda pública interna a corto</v>
          </cell>
        </row>
        <row r="896">
          <cell r="J896" t="str">
            <v>4.10.01.01.05 Comisiones y otros gastos de la deuda pública interna a corto plazo de títulos y valores</v>
          </cell>
        </row>
        <row r="897">
          <cell r="J897" t="str">
            <v>4.10.01.01.06 Descuentos en colocación de títulos y valores de la deuda pública interna a corto plazo</v>
          </cell>
        </row>
        <row r="898">
          <cell r="J898" t="str">
            <v>4.10.01.01.07 Descuentos en colocación de letras del tesoro a corto plazo</v>
          </cell>
        </row>
        <row r="899">
          <cell r="J899" t="str">
            <v>4.10.01.02.00 Servicio de la deuda pública interna por préstamos a corto plazo</v>
          </cell>
        </row>
        <row r="900">
          <cell r="J900" t="str">
            <v>4.10.01.02.01 Amortización de la deuda pública interna por préstamos recibidos del sector privado a corto plazo</v>
          </cell>
        </row>
        <row r="901">
          <cell r="J901" t="str">
            <v>4.10.01.02.02 Amortización de la deuda pública interna por préstamos recibidos de la República a corto plazo</v>
          </cell>
        </row>
        <row r="902">
          <cell r="J902" t="str">
            <v>4.10.01.02.03 Amortización de la deuda pública interna por préstamos recibidos de entes descentralizados sin fines empresariales a corto plazo</v>
          </cell>
        </row>
        <row r="903">
          <cell r="J903" t="str">
            <v>4.10.01.02.04 Amortización de la deuda pública interna por préstamos recibidos de instituciones de protección social a corto plazo</v>
          </cell>
        </row>
        <row r="904">
          <cell r="J904" t="str">
            <v>4.10.01.02.05 Amortización de la deuda pública interna por préstamos recibidos de entes descentralizados con fines empresariales petroleros a corto plazo</v>
          </cell>
        </row>
        <row r="905">
          <cell r="J905" t="str">
            <v>4.10.01.02.06 Amortización de la deuda pública interna por préstamos recibidos de entes descentralizados con fines empresariales no petroleros a corto plazo</v>
          </cell>
        </row>
        <row r="906">
          <cell r="J906" t="str">
            <v>4.10.01.02.07 Amortización de la deuda pública interna por préstamos recibidos de entes descentralizados financieros bancarios a corto plazo</v>
          </cell>
        </row>
        <row r="907">
          <cell r="J907" t="str">
            <v>4.10.01.02.08 Amortización de la deuda pública interna por préstamos recibidos de entes descentralizados financieros no bancarios a corto plazo</v>
          </cell>
        </row>
        <row r="908">
          <cell r="J908" t="str">
            <v>4.10.01.02.09 Amortización de la deuda pública interna por préstamos recibidos del Poder Estadal a corto plazo</v>
          </cell>
        </row>
        <row r="909">
          <cell r="J909" t="str">
            <v>4.10.01.02.10 Amortización de la deuda pública interna por préstamos recibidos del Poder Municipal a corto plazo</v>
          </cell>
        </row>
        <row r="910">
          <cell r="J910" t="str">
            <v>4.10.01.02.11 Intereses de la deuda pública interna por préstamos recibidos del sector privado a corto plazo</v>
          </cell>
        </row>
        <row r="911">
          <cell r="J911" t="str">
            <v>4.10.01.02.12 Intereses de la deuda pública interna por préstamos recibidos de la República a corto plazo</v>
          </cell>
        </row>
        <row r="912">
          <cell r="J912" t="str">
            <v>4.10.01.02.13 Intereses de la deuda pública interna por préstamos recibidos de entes descentralizados sin fines empresariales a corto plazo</v>
          </cell>
        </row>
        <row r="913">
          <cell r="J913" t="str">
            <v>4.10.01.02.14 Intereses de la deuda pública interna por préstamos recibidos de instituciones de protección social a corto plazo</v>
          </cell>
        </row>
        <row r="914">
          <cell r="J914" t="str">
            <v>4.10.01.02.15 Intereses de la deuda pública interna por préstamos recibidos de entes descentralizados con fines empresariales petroleros a corto plazo</v>
          </cell>
        </row>
        <row r="915">
          <cell r="J915" t="str">
            <v>4.10.01.02.16 Intereses de la deuda pública interna por préstamos recibidos de entes descentralizados con fines empresariales no petroleros a corto plazo</v>
          </cell>
        </row>
        <row r="916">
          <cell r="J916" t="str">
            <v>4.10.01.02.17 Intereses de la deuda pública interna por préstamos recibidos de entes descentralizados financieros bancarios a corto plazo</v>
          </cell>
        </row>
        <row r="917">
          <cell r="J917" t="str">
            <v>4.10.01.02.18 Intereses de la deuda pública interna por préstamos recibidos de entes descentralizados financieros no bancarios a corto plazo</v>
          </cell>
        </row>
        <row r="918">
          <cell r="J918" t="str">
            <v>4.10.01.02.19 Intereses de la deuda pública interna por préstamos recibidos del Poder Estadal a corto plazo</v>
          </cell>
        </row>
        <row r="919">
          <cell r="J919" t="str">
            <v>4.10.01.02.20 Intereses de la deuda pública interna por préstamos recibidos del Poder Municipal a corto plazo</v>
          </cell>
        </row>
        <row r="920">
          <cell r="J920" t="str">
            <v>4.10.01.02.21 Intereses por mora y multas de la deuda pública interna por préstamos recibidos del sector privado a corto plazo</v>
          </cell>
        </row>
        <row r="921">
          <cell r="J921" t="str">
            <v>4.10.01.02.22 Intereses por mora y multas de la deuda pública interna por préstamos recibidos de la República a corto plazo</v>
          </cell>
        </row>
        <row r="922">
          <cell r="J922" t="str">
            <v>4.10.01.02.23 Intereses por mora y multas de la deuda pública interna por préstamos recibidos de entes descentralizados sin fines empresariales a corto plazo</v>
          </cell>
        </row>
        <row r="923">
          <cell r="J923" t="str">
            <v>4.10.01.02.24 Intereses por mora y multas de la deuda pública interna por préstamos recibidos de instituciones de protección social a corto plazo</v>
          </cell>
        </row>
        <row r="924">
          <cell r="J924" t="str">
            <v>4.10.01.02.25 Intereses por mora y multas de la deuda pública interna por préstamos recibidos de entes descentralizados con fines empresariales petroleros a corto plazo</v>
          </cell>
        </row>
        <row r="925">
          <cell r="J925" t="str">
            <v>4.10.01.02.26 Intereses por mora y multas de la deuda pública interna por préstamos recibidos de entes descentralizados con fines empresariales no petroleros a corto plazo</v>
          </cell>
        </row>
        <row r="926">
          <cell r="J926" t="str">
            <v>4.10.01.02.27 Intereses por mora y multas de la deuda pública interna por préstamos recibidos de entes descentralizados financieros bancarios a corto plazo</v>
          </cell>
        </row>
        <row r="927">
          <cell r="J927" t="str">
            <v>4.10.01.02.28 Intereses por mora y multas de la deuda pública interna por préstamos recibidos de entes descentralizados financieros no bancarios a corto plazo</v>
          </cell>
        </row>
        <row r="928">
          <cell r="J928" t="str">
            <v>4.10.01.02.29 Intereses por mora y multas de la deuda pública interna por préstamos recibidos del Poder Estadal a corto plazo</v>
          </cell>
        </row>
        <row r="929">
          <cell r="J929" t="str">
            <v>4.10.01.02.30 Intereses por mora y multas de la deuda pública interna por préstamos recibidos del Poder Municipal a corto plazo</v>
          </cell>
        </row>
        <row r="930">
          <cell r="J930" t="str">
            <v>4.10.01.02.31 Comisiones y otros gastos de la deuda pública interna por préstamos recibidos del sector privado a corto plazo</v>
          </cell>
        </row>
        <row r="931">
          <cell r="J931" t="str">
            <v>4.10.01.02.32 Comisiones y otros gastos de la deuda pública interna por préstamos recibidos de la República a corto plazo</v>
          </cell>
        </row>
        <row r="932">
          <cell r="J932" t="str">
            <v>4.10.01.02.33 Comisiones y otros gastos de la deuda pública interna por préstamos recibidos de entes descentralizados sin fines empresariales a corto plazo</v>
          </cell>
        </row>
        <row r="933">
          <cell r="J933" t="str">
            <v>4.10.01.02.34 Comisiones y otros gastos de la deuda pública interna por préstamos recibidos de instituciones de protección social a corto plazo</v>
          </cell>
        </row>
        <row r="934">
          <cell r="J934" t="str">
            <v>4.10.01.02.35 Comisiones y otros gastos de la deuda pública interna por préstamos recibidos de entes descentralizados con fines empresariales petroleros a corto plazo</v>
          </cell>
        </row>
        <row r="935">
          <cell r="J935" t="str">
            <v>4.10.01.02.36 Comisiones y otros gastos de la deuda pública interna por préstamos recibidos de entes descentralizados con fines empresariales no petroleros a corto plazo</v>
          </cell>
        </row>
        <row r="936">
          <cell r="J936" t="str">
            <v>4.10.01.02.37 Comisiones y otros gastos de la deuda pública interna por préstamos recibidos de entes descentralizados financieros bancarios a corto plazo</v>
          </cell>
        </row>
        <row r="937">
          <cell r="J937" t="str">
            <v>4.10.01.02.38 Comisiones y otros gastos de la deuda pública interna por préstamos recibidos de entes descentralizados financieros no bancarios a corto plazo</v>
          </cell>
        </row>
        <row r="938">
          <cell r="J938" t="str">
            <v>4.10.01.02.39 Comisiones y otros gastos de la deuda pública interna por préstamos recibidos del Poder Estadal a corto plazo</v>
          </cell>
        </row>
        <row r="939">
          <cell r="J939" t="str">
            <v>4.10.01.02.40 Comisiones y otros gastos de la deuda pública interna por préstamos recibidos del Poder Municipal a corto plazo</v>
          </cell>
        </row>
        <row r="940">
          <cell r="J940" t="str">
            <v>4.10.01.03.00 Servicio de la deuda pública interna indirecta por préstamos a corto plazo</v>
          </cell>
        </row>
        <row r="941">
          <cell r="J941" t="str">
            <v>4.10.01.03.01 Amortización de la deuda pública interna indirecta por préstamos recibidos del sector privado a corto plazo</v>
          </cell>
        </row>
        <row r="942">
          <cell r="J942" t="str">
            <v>4.10.01.03.02 Amortización de la deuda pública interna indirecta por préstamos recibidos del sector público a corto plazo</v>
          </cell>
        </row>
        <row r="943">
          <cell r="J943" t="str">
            <v>4.10.01.03.03 Intereses de la deuda pública interna indirecta por préstamos recibidos del sector privado a corto plazo</v>
          </cell>
        </row>
        <row r="944">
          <cell r="J944" t="str">
            <v>4.10.01.03.04 Intereses de la deuda pública interna indirecta por préstamos recibidos del sector público a corto plazo</v>
          </cell>
        </row>
        <row r="945">
          <cell r="J945" t="str">
            <v>4.10.01.03.05 Intereses por mora y multas de la deuda pública interna indirecta por préstamos recibidos del sector privado a corto plazo</v>
          </cell>
        </row>
        <row r="946">
          <cell r="J946" t="str">
            <v>4.10.01.03.06 Intereses por mora y multas de la deuda pública interna indirecta por préstamos recibidos del sector público a corto plazo</v>
          </cell>
        </row>
        <row r="947">
          <cell r="J947" t="str">
            <v>4.10.01.03.07 Comisiones y otros gastos de la deuda pública interna indirecta por préstamos recibidos del sector privado a corto plazo</v>
          </cell>
        </row>
        <row r="948">
          <cell r="J948" t="str">
            <v>4.10.01.03.08 Comisiones y otros gastos de la deuda pública interna indirecta por préstamos recibidos del sector público a corto plazo</v>
          </cell>
        </row>
        <row r="949">
          <cell r="J949" t="str">
            <v>4.10.02.00.00 Servicio de la deuda pública interna a largo plazo</v>
          </cell>
        </row>
        <row r="950">
          <cell r="J950" t="str">
            <v>4.10.02.01.00 Servicio de la deuda pública interna a largo plazo de títulos y valores</v>
          </cell>
        </row>
        <row r="951">
          <cell r="J951" t="str">
            <v>4.10.02.01.01 Amortización de la deuda pública interna a largo plazo de títulos y valores</v>
          </cell>
        </row>
        <row r="952">
          <cell r="J952" t="str">
            <v>4.10.02.01.02 Amortización de la deuda pública interna a largo plazo de letras del tesoro</v>
          </cell>
        </row>
        <row r="953">
          <cell r="J953" t="str">
            <v>4.10.02.01.03 Intereses de la deuda pública interna a largo plazo de títulos y valores</v>
          </cell>
        </row>
        <row r="954">
          <cell r="J954" t="str">
            <v>4.10.02.01.04 Intereses por mora y multas de la deuda pública interna a largo plazo de títulos y valores</v>
          </cell>
        </row>
        <row r="955">
          <cell r="J955" t="str">
            <v>4.10.02.01.05 Comisiones y otros gastos de la deuda pública interna a largo plazo de títulos y valores</v>
          </cell>
        </row>
        <row r="956">
          <cell r="J956" t="str">
            <v>4.10.02.01.06 Descuentos en colocación de títulos y valores de la deuda pública interna a largo plazo</v>
          </cell>
        </row>
        <row r="957">
          <cell r="J957" t="str">
            <v>4.10.02.01.07 Descuentos en colocación de letras del tesoro a largo plazo</v>
          </cell>
        </row>
        <row r="958">
          <cell r="J958" t="str">
            <v>4.10.02.02.00 Servicio de la deuda pública interna por préstamos a largo plazo</v>
          </cell>
        </row>
        <row r="959">
          <cell r="J959" t="str">
            <v>4.10.02.02.01 Amortización de la deuda pública interna por préstamos recibidos del sector privado a largo plazo</v>
          </cell>
        </row>
        <row r="960">
          <cell r="J960" t="str">
            <v>4.10.02.02.02 Amortización de la deuda pública interna por préstamos recibidos de la República a largo plazo</v>
          </cell>
        </row>
        <row r="961">
          <cell r="J961" t="str">
            <v>4.10.02.02.03 Amortización de la deuda pública interna por préstamos recibidos de entes descentralizados sin fines empresariales a largo plazo</v>
          </cell>
        </row>
        <row r="962">
          <cell r="J962" t="str">
            <v>4.10.02.02.04 Amortización de la deuda pública interna por préstamos recibidos de instituciones de protección social a largo plazo</v>
          </cell>
        </row>
        <row r="963">
          <cell r="J963" t="str">
            <v>4.10.02.02.05 Amortización de la deuda pública interna por préstamos recibidos de entes descentralizados con fines empresariales petroleros a largo plazo</v>
          </cell>
        </row>
        <row r="964">
          <cell r="J964" t="str">
            <v>4.10.02.02.06 Amortización de la deuda pública interna por préstamos recibidos de entes descentralizados con fines empresariales no petroleros a largo plazo</v>
          </cell>
        </row>
        <row r="965">
          <cell r="J965" t="str">
            <v>4.10.02.02.07 Amortización de la deuda pública interna por préstamos recibidos de entes descentralizados financieros bancarios a largo plazo</v>
          </cell>
        </row>
        <row r="966">
          <cell r="J966" t="str">
            <v>4.10.02.02.08 Amortización de la deuda pública interna por préstamos recibidos de entes descentralizados financieros no bancarios a largo plazo</v>
          </cell>
        </row>
        <row r="967">
          <cell r="J967" t="str">
            <v>4.10.02.02.09 Amortización de la deuda pública interna por préstamos recibidos del Poder Estadal a largo plazo</v>
          </cell>
        </row>
        <row r="968">
          <cell r="J968" t="str">
            <v>4.10.02.02.10 Amortización de la deuda pública interna por préstamos recibidos del Poder Municipal a largo plazo</v>
          </cell>
        </row>
        <row r="969">
          <cell r="J969" t="str">
            <v>4.10.02.02.11 Intereses de la deuda pública interna por préstamos recibidos del sector privado a largo plazo</v>
          </cell>
        </row>
        <row r="970">
          <cell r="J970" t="str">
            <v>4.10.02.02.12 Intereses de la deuda pública interna por préstamos recibidos de la República a largo plazo</v>
          </cell>
        </row>
        <row r="971">
          <cell r="J971" t="str">
            <v>4.10.02.02.13 Intereses de la deuda pública interna por préstamos recibidos de entes descentralizados sin fines empresariales a largo plazo</v>
          </cell>
        </row>
        <row r="972">
          <cell r="J972" t="str">
            <v>4.10.02.02.14 Intereses de la deuda pública interna por préstamos recibidos de instituciones de protección social a largo plazo</v>
          </cell>
        </row>
        <row r="973">
          <cell r="J973" t="str">
            <v>4.10.02.02.15 Intereses de la deuda pública interna por préstamos recibidos de entes descentralizados con fines empresariales petroleros a largo plazo</v>
          </cell>
        </row>
        <row r="974">
          <cell r="J974" t="str">
            <v>4.10.02.02.16 Intereses de la deuda pública interna por préstamos recibidos de entes descentralizados con fines empresariales no petroleros a largo plazo</v>
          </cell>
        </row>
        <row r="975">
          <cell r="J975" t="str">
            <v>4.10.02.02.17 Intereses de la deuda pública interna por préstamos recibidos de entes descentralizados financieros bancarios a largo plazo</v>
          </cell>
        </row>
        <row r="976">
          <cell r="J976" t="str">
            <v>4.10.02.02.18 Intereses de la deuda pública interna por préstamos recibidos de entes descentralizados financieros no bancarios a largo plazo</v>
          </cell>
        </row>
        <row r="977">
          <cell r="J977" t="str">
            <v>4.10.02.02.19 Intereses de la deuda pública interna por préstamos recibidos del Poder Estadal a largo plazo</v>
          </cell>
        </row>
        <row r="978">
          <cell r="J978" t="str">
            <v>4.10.02.02.20 Intereses de la deuda pública interna por préstamos recibidos del Poder Municipal a largo plazo</v>
          </cell>
        </row>
        <row r="979">
          <cell r="J979" t="str">
            <v>4.10.02.02.21 Intereses por mora y multas de la deuda pública interna por préstamos recibidos del sector privado a largo plazo</v>
          </cell>
        </row>
        <row r="980">
          <cell r="J980" t="str">
            <v>4.10.02.02.22 Intereses por mora y multas de la deuda pública interna por préstamos recibidos de la República a largo plazo</v>
          </cell>
        </row>
        <row r="981">
          <cell r="J981" t="str">
            <v>4.10.02.02.23 Intereses por mora y multas de la deuda pública interna por préstamos recibidos de entes descentralizados sin fines empresariales a largo plazo</v>
          </cell>
        </row>
        <row r="982">
          <cell r="J982" t="str">
            <v>4.10.02.02.24 Intereses por mora y multas de la deuda pública interna por préstamos recibidos de instituciones de protección social a largo plazo</v>
          </cell>
        </row>
        <row r="983">
          <cell r="J983" t="str">
            <v>4.10.02.02.25 Intereses por mora y multas de la deuda pública interna por préstamos recibidos de entes descentralizados con fines empresariales petroleros a largo plazo</v>
          </cell>
        </row>
        <row r="984">
          <cell r="J984" t="str">
            <v>4.10.02.02.26 Intereses por mora y multas de la deuda pública interna por préstamos recibidos de entes descentralizados con fines empresariales no petroleros a largo plazo</v>
          </cell>
        </row>
        <row r="985">
          <cell r="J985" t="str">
            <v>4.10.02.02.27 Intereses por mora y multas de la deuda pública interna por préstamos recibidos de entes descentralizados financieros bancarios a largo plazo</v>
          </cell>
        </row>
        <row r="986">
          <cell r="J986" t="str">
            <v>4.10.02.02.28 Intereses por mora y multas de la deuda pública interna por préstamos recibidos de entes descentralizados financieros no bancarios a largo plazo</v>
          </cell>
        </row>
        <row r="987">
          <cell r="J987" t="str">
            <v>4.10.02.02.29 Intereses por mora y multas de la deuda pública interna por préstamos recibidos del Poder Estadal a largo plazo</v>
          </cell>
        </row>
        <row r="988">
          <cell r="J988" t="str">
            <v>4.10.02.02.30 Intereses por mora y multas de la deuda pública interna por préstamos recibidos del Poder Municipal a largo plazo</v>
          </cell>
        </row>
        <row r="989">
          <cell r="J989" t="str">
            <v>4.10.02.02.31 Comisiones y otros gastos de la deuda pública interna por préstamos recibidos del sector privado a largo plazo</v>
          </cell>
        </row>
        <row r="990">
          <cell r="J990" t="str">
            <v>4.10.02.02.32 Comisiones y otros gastos de la deuda pública interna por préstamos recibidos de la República a largo plazo</v>
          </cell>
        </row>
        <row r="991">
          <cell r="J991" t="str">
            <v>4.10.02.02.33 Comisiones y otros gastos de la deuda pública interna por préstamos recibidos de entes descentralizados sin fines empresariales a largo plazo</v>
          </cell>
        </row>
        <row r="992">
          <cell r="J992" t="str">
            <v>4.10.02.02.34 Comisiones y otros gastos de la deuda pública interna por préstamos recibidos de instituciones de protección social a largo plazo</v>
          </cell>
        </row>
        <row r="993">
          <cell r="J993" t="str">
            <v>4.10.02.02.35 Comisiones y otros gastos de la deuda pública interna por préstamos recibidos de entes descentralizados con fines empresariales petroleros a largo plazo</v>
          </cell>
        </row>
        <row r="994">
          <cell r="J994" t="str">
            <v>4.10.02.02.36 Comisiones y otros gastos de la deuda pública interna por préstamos recibidos de entes descentralizados con fines empresariales no petroleros a largo plazo</v>
          </cell>
        </row>
        <row r="995">
          <cell r="J995" t="str">
            <v>4.10.02.02.37 Comisiones y otros gastos de la deuda pública interna por préstamos recibidos de entes descentralizados financieros bancarios a largo plazo</v>
          </cell>
        </row>
        <row r="996">
          <cell r="J996" t="str">
            <v>4.10.02.02.38 Comisiones y otros gastos de la deuda pública interna porpréstamos recibidos de entes descentralizados financieros no bancarios a largo plazo</v>
          </cell>
        </row>
        <row r="997">
          <cell r="J997" t="str">
            <v>4.10.02.02.39 Comisiones y otros gastos de la deuda pública interna por préstamos recibidos del Poder Estadal a largo plazo</v>
          </cell>
        </row>
        <row r="998">
          <cell r="J998" t="str">
            <v>4.10.02.02.40 Comisiones y otros gastos de la deuda pública interna por préstamos recibidos del Poder Municipal a largo plazo</v>
          </cell>
        </row>
        <row r="999">
          <cell r="J999" t="str">
            <v>4.10.02.03.00 Servicio de la deuda pública interna indirecta a largo plazo de títulos y valores</v>
          </cell>
        </row>
        <row r="1000">
          <cell r="J1000" t="str">
            <v>4.10.02.03.01 Amortización de la deuda pública interna indirecta a largo plazo de títulos y valores</v>
          </cell>
        </row>
        <row r="1001">
          <cell r="J1001" t="str">
            <v>4.10.02.03.02 Intereses de la deuda pública interna indirecta a largo plazo de títulos y valores</v>
          </cell>
        </row>
        <row r="1002">
          <cell r="J1002" t="str">
            <v>4.10.02.03.03 Intereses por mora y multas de la deuda pública interna indirecta a largo plazo de títulos y valores</v>
          </cell>
        </row>
        <row r="1003">
          <cell r="J1003" t="str">
            <v>4.10.02.03.04 Comisiones y otros gastos de la deuda pública interna indirecta a largo plazo de títulos y valores</v>
          </cell>
        </row>
        <row r="1004">
          <cell r="J1004" t="str">
            <v>4.10.02.03.05 Descuentos en colocación de títulos y valores de la deuda pública interna indirecta de largo plazo</v>
          </cell>
        </row>
        <row r="1005">
          <cell r="J1005" t="str">
            <v>4.10.02.04.00 Servicio de la deuda pública interna indirecta por préstamos a largo plazo</v>
          </cell>
        </row>
        <row r="1006">
          <cell r="J1006" t="str">
            <v>4.10.02.04.01 Amortización de la deuda pública interna indirecta por préstamos recibidos del sector privado a largo plazo</v>
          </cell>
        </row>
        <row r="1007">
          <cell r="J1007" t="str">
            <v>4.10.02.04.02 Amortización de la deuda pública interna indirecta por préstamos recibidos del sector público a largo plazo</v>
          </cell>
        </row>
        <row r="1008">
          <cell r="J1008" t="str">
            <v>4.10.02.04.03 Intereses de la deuda pública interna indirecta por préstamos recibidos del sector privado a largo plazo</v>
          </cell>
        </row>
        <row r="1009">
          <cell r="J1009" t="str">
            <v>4.10.02.04.04 Intereses de la deuda pública interna indirecta por préstamos recibidos del sector público a largo plazo</v>
          </cell>
        </row>
        <row r="1010">
          <cell r="J1010" t="str">
            <v>4.10.02.04.05 Intereses por mora y multas de la deuda pública interna indirecta por préstamos recibidos del sector privado a largo plazo</v>
          </cell>
        </row>
        <row r="1011">
          <cell r="J1011" t="str">
            <v>4.10.02.04.06 Intereses por mora y multas de la deuda pública interna indirecta por préstamos recibidos del sector público a largo plazo</v>
          </cell>
        </row>
        <row r="1012">
          <cell r="J1012" t="str">
            <v>4.10.02.04.07 Comisiones y otros gastos de la deuda pública interna indirecta por préstamos recibidos del sector privado a largo plazo</v>
          </cell>
        </row>
        <row r="1013">
          <cell r="J1013" t="str">
            <v>4.10.02.04.08 Comisiones y otros gastos de la deuda pública interna indirecta por préstamos recibidos del sector público a largo plazo</v>
          </cell>
        </row>
        <row r="1014">
          <cell r="J1014" t="str">
            <v>4.10.03.00.00 Servicio de la deuda pública externa a corto plazo</v>
          </cell>
        </row>
        <row r="1015">
          <cell r="J1015" t="str">
            <v>4.10.03.01.00 Servicio de la deuda pública externa a corto plazo de títulos y valores</v>
          </cell>
        </row>
        <row r="1016">
          <cell r="J1016" t="str">
            <v>4.10.03.01.01 Amortización de la deuda pública externa a corto plazo de títulos y valores</v>
          </cell>
        </row>
        <row r="1017">
          <cell r="J1017" t="str">
            <v>4.10.03.01.02 Intereses de la deuda pública externa a corto plazo de títulos y valores</v>
          </cell>
        </row>
        <row r="1018">
          <cell r="J1018" t="str">
            <v>4.10.03.01.03 Intereses por mora y multas de la deuda pública externa a corto plazo de títulos y valores</v>
          </cell>
        </row>
        <row r="1019">
          <cell r="J1019" t="str">
            <v>4.10.03.01.04 Comisiones y otros gastos de la deuda pública externa a corto plazo de títulos y valores</v>
          </cell>
        </row>
        <row r="1020">
          <cell r="J1020" t="str">
            <v>4.10.03.01.05 Descuentos en colocación de títulos y valores de la deuda pública externa a corto plazo</v>
          </cell>
        </row>
        <row r="1021">
          <cell r="J1021" t="str">
            <v>4.10.03.02.00 Servicio de la deuda pública externa por préstamos a corto plazo</v>
          </cell>
        </row>
        <row r="1022">
          <cell r="J1022" t="str">
            <v>4.10.03.02.01 Amortización de la deuda pública externa por préstamos recibidos de gobiernos extranjeros a corto plazo</v>
          </cell>
        </row>
        <row r="1023">
          <cell r="J1023" t="str">
            <v>4.10.03.02.02 Amortización de la deuda pública externa por préstamos recibidos de organismos internacionales a corto plazo</v>
          </cell>
        </row>
        <row r="1024">
          <cell r="J1024" t="str">
            <v>4.10.03.02.03 Amortización de la deuda pública externa por préstamos recibidos de instituciones financieras externas a corto plazo</v>
          </cell>
        </row>
        <row r="1025">
          <cell r="J1025" t="str">
            <v>4.10.03.02.04 Amortización de la deuda pública externa por préstamos recibidos de proveedores de bienes y servicios externos a corto plazo</v>
          </cell>
        </row>
        <row r="1026">
          <cell r="J1026" t="str">
            <v>4.10.03.02.05 Intereses de la deuda pública externa por préstamos recibidos de gobiernos extranjeros a corto plazo</v>
          </cell>
        </row>
        <row r="1027">
          <cell r="J1027" t="str">
            <v>4.10.03.02.06 Intereses de la deuda pública externa por préstamos recibidos de organismos internacionales a corto plazo</v>
          </cell>
        </row>
        <row r="1028">
          <cell r="J1028" t="str">
            <v>4.10.03.02.07 Intereses de la deuda pública externa por préstamos recibidos de instituciones financieras externas a corto plazo</v>
          </cell>
        </row>
        <row r="1029">
          <cell r="J1029" t="str">
            <v>4.10.03.02.08 Intereses de la deuda pública externa por préstamos recibidos de proveedores de bienes y servicios externos a corto plazo</v>
          </cell>
        </row>
        <row r="1030">
          <cell r="J1030" t="str">
            <v>4.10.03.02.09 Intereses por mora y multas de la deuda pública externa por préstamos recibidos de gobiernos extranjeros a corto plazo</v>
          </cell>
        </row>
        <row r="1031">
          <cell r="J1031" t="str">
            <v>4.10.03.02.10 Intereses por mora y multas de la deuda pública externa por préstamos recibidos de organismos internacionales a corto plazo</v>
          </cell>
        </row>
        <row r="1032">
          <cell r="J1032" t="str">
            <v>4.10.03.02.11 Intereses por mora y multas de la deuda pública externa por préstamos recibidos de instituciones financieras externas a corto plazo</v>
          </cell>
        </row>
        <row r="1033">
          <cell r="J1033" t="str">
            <v>4.10.03.02.12 Intereses por mora y multas de la deuda pública externa por préstamos recibidos de proveedores de bienes y servicios externos a corto plazo</v>
          </cell>
        </row>
        <row r="1034">
          <cell r="J1034" t="str">
            <v>4.10.03.02.13 Comisiones y otros gastos de la deuda pública externa por préstamos recibidos de gobiernos extranjeros a corto plazo</v>
          </cell>
        </row>
        <row r="1035">
          <cell r="J1035" t="str">
            <v>4.10.03.02.14 Comisiones y otros gastos de la deuda pública externa por préstamos recibidos de organismos internacionales a corto plazo</v>
          </cell>
        </row>
        <row r="1036">
          <cell r="J1036" t="str">
            <v>4.10.03.02.15 Comisiones y otros gastos de la deuda pública externa por préstamos recibidos de instituciones financieras externas a corto plazo</v>
          </cell>
        </row>
        <row r="1037">
          <cell r="J1037" t="str">
            <v>4.10.03.02.16 Comisiones y otros gastos de la deuda pública externa por préstamos recibidos de proveedores de bienes y servicios externos a corto plazo</v>
          </cell>
        </row>
        <row r="1038">
          <cell r="J1038" t="str">
            <v xml:space="preserve">4.10.03.03.00 Servicio de la deuda pública externa indirecta por préstamos a corto plazo </v>
          </cell>
        </row>
        <row r="1039">
          <cell r="J1039" t="str">
            <v>4.10.03.03.01 Amortización de la deuda pública externa indirecta por préstamos recibidos de gobiernos extranjeros a corto plazo</v>
          </cell>
        </row>
        <row r="1040">
          <cell r="J1040" t="str">
            <v>4.10.03.03.02 Amortización de la deuda pública externa indirecta por préstamos recibidos de organismos internacionales a corto plazo</v>
          </cell>
        </row>
        <row r="1041">
          <cell r="J1041" t="str">
            <v>4.10.03.03.03 Amortización de la deuda pública externa indirecta por préstamos recibidos de instituciones financieras externas a corto plazo</v>
          </cell>
        </row>
        <row r="1042">
          <cell r="J1042" t="str">
            <v>4.10.03.03.04 Amortización de la deuda pública externa indirecta por préstamos recibidos de proveedores de bienes y servicios externos a corto plazo</v>
          </cell>
        </row>
        <row r="1043">
          <cell r="J1043" t="str">
            <v>4.10.03.03.05 Intereses de la deuda pública externa indirecta por préstamos recibidos de gobiernos extranjeros a corto plazo</v>
          </cell>
        </row>
        <row r="1044">
          <cell r="J1044" t="str">
            <v>4.10.03.03.06 Intereses de la deuda pública externa indirecta por préstamos recibidos de organismos internacionales a corto plazo</v>
          </cell>
        </row>
        <row r="1045">
          <cell r="J1045" t="str">
            <v>4.10.03.03.07 Intereses de la deuda pública externa indirecta por préstamos recibidos de instituciones financieras externas a corto plazo</v>
          </cell>
        </row>
        <row r="1046">
          <cell r="J1046" t="str">
            <v>4.10.03.03.08 Intereses de la deuda pública externa indirecta por préstamos recibidos de proveedores de bienes y servicios externos a corto plazo</v>
          </cell>
        </row>
        <row r="1047">
          <cell r="J1047" t="str">
            <v>4.10.03.03.09 Intereses por mora y multas de la deuda pública externa indirecta por préstamos recibidos de gobiernos extranjeros a corto plazo</v>
          </cell>
        </row>
        <row r="1048">
          <cell r="J1048" t="str">
            <v>4.10.03.03.10 Intereses por mora y multas de la deuda pública externa indirecta por préstamos recibidos de organismos internacionales a corto plazo</v>
          </cell>
        </row>
        <row r="1049">
          <cell r="J1049" t="str">
            <v>4.10.03.03.11 Intereses por mora y multas de la deuda pública externa indirecta por préstamos recibidos de instituciones financieras externas a corto plazo</v>
          </cell>
        </row>
        <row r="1050">
          <cell r="J1050" t="str">
            <v>4.10.03.03.12 Intereses por mora y multas de la deuda pública externa indirecta por préstamos recibidos de proveedores de bienes y servicios externos a corto plazo</v>
          </cell>
        </row>
        <row r="1051">
          <cell r="J1051" t="str">
            <v>4.10.03.03.13 Comisiones y otros gastos de la deuda pública externa indirecta por préstamos recibidos de gobiernos extranjeros a corto plazo</v>
          </cell>
        </row>
        <row r="1052">
          <cell r="J1052" t="str">
            <v>4.10.03.03.14 Comisiones y otros gastos de la deuda pública externa indirecta por préstamos recibidos de organismos internacionales a corto plazo</v>
          </cell>
        </row>
        <row r="1053">
          <cell r="J1053" t="str">
            <v>4.10.03.03.15 Comisiones y otros gastos de la deuda pública externa indirecta por préstamos recibidos de instituciones financieras externas a corto plazo</v>
          </cell>
        </row>
        <row r="1054">
          <cell r="J1054" t="str">
            <v>4.10.03.03.16 Comisiones y otros gastos de la deuda pública externa indirecta por préstamos recibidos de proveedores de bienes y servicios externos a corto plazo</v>
          </cell>
        </row>
        <row r="1055">
          <cell r="J1055" t="str">
            <v>4.10.04.00.00 Servicio de la deuda pública externa a largo plazo</v>
          </cell>
        </row>
        <row r="1056">
          <cell r="J1056" t="str">
            <v>4.10.04.01.00 Servicio de la deuda pública externa a largo plazo de títulos y valores</v>
          </cell>
        </row>
        <row r="1057">
          <cell r="J1057" t="str">
            <v>4.10.04.01.01 Amortización de la deuda pública externa a largo plazo de títulos y valores</v>
          </cell>
        </row>
        <row r="1058">
          <cell r="J1058" t="str">
            <v>4.10.04.01.02 Intereses de la deuda pública externa a largo plazo de títulos y valores</v>
          </cell>
        </row>
        <row r="1059">
          <cell r="J1059" t="str">
            <v>4.10.04.01.03 Intereses por mora y multas de la deuda pública externa a largo plazo de títulos y valores</v>
          </cell>
        </row>
        <row r="1060">
          <cell r="J1060" t="str">
            <v>4.10.04.01.04 Comisiones y otros gastos de la deuda pública externa a largo plazo de títulos y valores</v>
          </cell>
        </row>
        <row r="1061">
          <cell r="J1061" t="str">
            <v>4.10.04.01.05 Descuentos en colocación de títulos y valores de la deuda pública externa a largo plazo</v>
          </cell>
        </row>
        <row r="1062">
          <cell r="J1062" t="str">
            <v>4.10.04.02.00 Servicio de la deuda pública externa por préstamos a largo plazo</v>
          </cell>
        </row>
        <row r="1063">
          <cell r="J1063" t="str">
            <v>4.10.04.02.01 Amortización de la deuda pública externa por préstamos recibidos de gobiernos extranjeros a largo plazo</v>
          </cell>
        </row>
        <row r="1064">
          <cell r="J1064" t="str">
            <v>4.10.04.02.02 Amortización de la deuda pública externa por préstamos recibidos de organismos internacionales a largo plazo</v>
          </cell>
        </row>
        <row r="1065">
          <cell r="J1065" t="str">
            <v>4.10.04.02.03 Amortización de la deuda pública externa por préstamos recibidos de instituciones financieras externas a largo plazo</v>
          </cell>
        </row>
        <row r="1066">
          <cell r="J1066" t="str">
            <v>4.10.04.02.04 Amortización de la deuda pública externa por préstamos recibidos de proveedores de bienes y servicios externos a largo plazo</v>
          </cell>
        </row>
        <row r="1067">
          <cell r="J1067" t="str">
            <v>4.10.04.02.05 Intereses de la deuda pública externa por préstamos recibidos de gobiernos extranjeros a largo plazo</v>
          </cell>
        </row>
        <row r="1068">
          <cell r="J1068" t="str">
            <v>4.10.04.02.06 Intereses de la deuda pública externa por préstamos recibidos de organismos internacionales a largo plazo</v>
          </cell>
        </row>
        <row r="1069">
          <cell r="J1069" t="str">
            <v>4.10.04.02.07 Intereses de la deuda pública externa por préstamos recibidos de instituciones financieras externas a largo plazo</v>
          </cell>
        </row>
        <row r="1070">
          <cell r="J1070" t="str">
            <v>4.10.04.02.08 Intereses de la deuda pública externa por préstamos recibidos de proveedores de bienes y servicios externos a largo plazo</v>
          </cell>
        </row>
        <row r="1071">
          <cell r="J1071" t="str">
            <v>4.10.04.02.09 Intereses por mora y multas de la deuda pública externa por préstamos recibidos de gobiernos extranjeros a largo plazo</v>
          </cell>
        </row>
        <row r="1072">
          <cell r="J1072" t="str">
            <v>4.10.04.02.10 Intereses por mora y multas de la deuda pública externa por préstamos recibidos de organismos internacionales a largo plazo</v>
          </cell>
        </row>
        <row r="1073">
          <cell r="J1073" t="str">
            <v>4.10.04.02.11 Intereses por mora y multas de la deuda pública externa por préstamos recibidos de instituciones financieras externas a largo plazo</v>
          </cell>
        </row>
        <row r="1074">
          <cell r="J1074" t="str">
            <v>4.10.04.02.12 Intereses por mora y multas de la deuda pública externa por préstamos recibidos de proveedores de bienes y servicios externos a largo plazo</v>
          </cell>
        </row>
        <row r="1075">
          <cell r="J1075" t="str">
            <v>4.10.04.02.13 Comisiones y otros gastos de la deuda pública externa por préstamos recibidos de gobiernos extranjeros a largo plazo</v>
          </cell>
        </row>
        <row r="1076">
          <cell r="J1076" t="str">
            <v>4.10.04.02.14 Comisiones y otros gastos de la deuda pública externa por préstamos recibidos de organismos internacionales a largo plazo</v>
          </cell>
        </row>
        <row r="1077">
          <cell r="J1077" t="str">
            <v>4.10.04.02.15 Comisiones y otros gastos de la deuda pública externa por préstamos recibidos de instituciones financieras externas a largo plazo</v>
          </cell>
        </row>
        <row r="1078">
          <cell r="J1078" t="str">
            <v>4.10.04.02.16 Comisiones y otros gastos de la deuda pública externa por préstamos recibidos de proveedores de bienes y servicios externos a largo plazo</v>
          </cell>
        </row>
        <row r="1079">
          <cell r="J1079" t="str">
            <v>4.10.04.03.00 Servicio de la deuda pública externa indirecta a largo plazo de títulos y valores</v>
          </cell>
        </row>
        <row r="1080">
          <cell r="J1080" t="str">
            <v>4.10.04.03.01 Amortización de la deuda pública externa indirecta a largo plazo de títulos y valores</v>
          </cell>
        </row>
        <row r="1081">
          <cell r="J1081" t="str">
            <v>4.10.04.03.02 Intereses de la deuda pública externa indirecta a largo plazo de títulos y valores</v>
          </cell>
        </row>
        <row r="1082">
          <cell r="J1082" t="str">
            <v>4.10.04.03.03 Intereses por mora y multas de la deuda pública externa indirecta a largo plazo de títulos y valores</v>
          </cell>
        </row>
        <row r="1083">
          <cell r="J1083" t="str">
            <v>4.10.04.03.04 Comisiones y otros gastos de la deuda pública externa indirecta a largo plazo de títulos y valores</v>
          </cell>
        </row>
        <row r="1084">
          <cell r="J1084" t="str">
            <v>4.10.04.03.05 Descuentos en colocación de títulos y valores de la deuda pública externa indirecta a largo plazo</v>
          </cell>
        </row>
        <row r="1085">
          <cell r="J1085" t="str">
            <v>4.10.04.04.00 Servicio de la deuda pública externa indirecta por préstamos a largo plazo</v>
          </cell>
        </row>
        <row r="1086">
          <cell r="J1086" t="str">
            <v>4.10.04.04.01 Amortización de la deuda pública externa indirecta por préstamos recibidos de gobiernos extranjeros a largo plazo</v>
          </cell>
        </row>
        <row r="1087">
          <cell r="J1087" t="str">
            <v>4.10.04.04.02 Amortización de la deuda pública externa indirecta por préstamos recibidos de organismos internacionales a largo plazo</v>
          </cell>
        </row>
        <row r="1088">
          <cell r="J1088" t="str">
            <v>4.10.04.04.03 Amortización de la deuda pública externa indirecta por préstamos recibidos de instituciones financieras externas a largo plazo</v>
          </cell>
        </row>
        <row r="1089">
          <cell r="J1089" t="str">
            <v>4.10.04.04.04 Amortización de la deuda pública externa indirecta porpréstamos recibidos de proveedores de bienes y servicios externos a largo plazo</v>
          </cell>
        </row>
        <row r="1090">
          <cell r="J1090" t="str">
            <v>4.10.04.04.05 Intereses de la deuda pública externa indirecta por préstamos recibidos de gobiernos extranjeros a largo plazo</v>
          </cell>
        </row>
        <row r="1091">
          <cell r="J1091" t="str">
            <v>4.10.04.04.06 Intereses de la deuda pública externa indirecta por préstamos recibidos de organismos internacionales a largo plazo</v>
          </cell>
        </row>
        <row r="1092">
          <cell r="J1092" t="str">
            <v>4.10.04.04.07 Intereses de la deuda pública externa indirecta por préstamos recibidos de instituciones financieras externas a largo plazo</v>
          </cell>
        </row>
        <row r="1093">
          <cell r="J1093" t="str">
            <v>4.10.04.04.08 Intereses de la deuda pública externa indirecta por préstamos recibidos de proveedores de bienes y servicios externos a largo plazo</v>
          </cell>
        </row>
        <row r="1094">
          <cell r="J1094" t="str">
            <v>4.10.04.04.09 Intereses por mora y multas de la deuda pública externa indirecta por préstamos recibidos de gobiernos extranjeros a largo plazo</v>
          </cell>
        </row>
        <row r="1095">
          <cell r="J1095" t="str">
            <v>4.10.04.04.10 Intereses por mora y multas de la deuda pública externa indirecta por préstamos recibidos de organismos internacionales a largo plazo</v>
          </cell>
        </row>
        <row r="1096">
          <cell r="J1096" t="str">
            <v>4.10.04.04.11 Intereses por mora y multas de la deuda pública externa indirecta por préstamos recibidos de instituciones financieras externas a largo plazo</v>
          </cell>
        </row>
        <row r="1097">
          <cell r="J1097" t="str">
            <v>4.10.04.04.12 Intereses por mora y multas de la deuda pública externa indirecta por préstamos recibidos de proveedores de bienes y servicios externos a largo plazo</v>
          </cell>
        </row>
        <row r="1098">
          <cell r="J1098" t="str">
            <v>4.10.04.04.13 Comisiones y otros gastos de la deuda pública externa indirecta por préstamos recibidos de gobiernos extranjeros a largo plazo</v>
          </cell>
        </row>
        <row r="1099">
          <cell r="J1099" t="str">
            <v>4.10.04.04.14 Comisiones y otros gastos de la deuda pública externa indirecta por préstamos recibidos de organismos internacionales a largo plazo</v>
          </cell>
        </row>
        <row r="1100">
          <cell r="J1100" t="str">
            <v>4.10.04.04.15 Comisiones y otros gastos de la deuda pública externa indirecta por préstamos recibidos de instituciones financieras externas a largo plazo</v>
          </cell>
        </row>
        <row r="1101">
          <cell r="J1101" t="str">
            <v>4.10.04.04.16 Comisiones y otros gastos de la deuda pública externa indirecta por préstamos recibidos de proveedores de bienes y servicios externos a largo plazo</v>
          </cell>
        </row>
        <row r="1102">
          <cell r="J1102" t="str">
            <v>4.10.05.00.00 Reestructuración y/o refinanciamiento de la deuda publica</v>
          </cell>
        </row>
        <row r="1103">
          <cell r="J1103" t="str">
            <v>4.10.05.01.00 Disminución por reestructuración y/o refinanciamiento de la deuda interna a largo plazo, en a corto plazo</v>
          </cell>
        </row>
        <row r="1104">
          <cell r="J1104" t="str">
            <v>4.10.05.02.00 Disminución por reestructuración y/o refinanciamiento de lan deuda interna a corto plazo, en a largo plazo</v>
          </cell>
        </row>
        <row r="1105">
          <cell r="J1105" t="str">
            <v>4.10.05.03.00 Disminución por reestructuración y/o refinanciamiento de la deuda externa a largo plazo, en a corto plazo</v>
          </cell>
        </row>
        <row r="1106">
          <cell r="J1106" t="str">
            <v>4.10.05.04.00 Disminución por reestructuración y/o refinanciamiento de la deuda externa a corto plazo, en a largo plazo</v>
          </cell>
        </row>
        <row r="1107">
          <cell r="J1107" t="str">
            <v>4.10.05.05.00 Disminución de la deuda pública por distribuir</v>
          </cell>
        </row>
        <row r="1108">
          <cell r="J1108" t="str">
            <v>4.10.05.05.01 Disminución de la deuda pública interna por distribuir</v>
          </cell>
        </row>
        <row r="1109">
          <cell r="J1109" t="str">
            <v>4.10.05.05.02 Disminución de la deuda pública externa por distribuir</v>
          </cell>
        </row>
        <row r="1110">
          <cell r="J1110" t="str">
            <v>4.10.06.00.00 Servicio de la deuda pública por obligaciones de ejercicios anteriores</v>
          </cell>
        </row>
        <row r="1111">
          <cell r="J1111" t="str">
            <v>4.10.06.01.00 Amortización de la deuda pública de obligaciones pendientes de ejercicios anteriores</v>
          </cell>
        </row>
        <row r="1112">
          <cell r="J1112" t="str">
            <v>4.10.06.02.00 Intereses de la deuda pública de obligaciones pendientes de ejercicios anteriores</v>
          </cell>
        </row>
        <row r="1113">
          <cell r="J1113" t="str">
            <v>4.10.06.03.00 Intereses por mora y multas de la deuda pública de obligaciones pendientes de ejercicios anteriores</v>
          </cell>
        </row>
        <row r="1114">
          <cell r="J1114" t="str">
            <v>4.10.06.04.00 Comisiones y otros gastos de la deuda pública de obligaciones pendientes de ejercicios anteriores</v>
          </cell>
        </row>
        <row r="1115">
          <cell r="J1115" t="str">
            <v>4.11.00.00.00 DISMINUCION DE PASIVOS</v>
          </cell>
        </row>
        <row r="1116">
          <cell r="J1116" t="str">
            <v>4.11.01.00.00 Disminución de gastos de personal por pagar</v>
          </cell>
        </row>
        <row r="1117">
          <cell r="J1117" t="str">
            <v>4.11.01.01.00 Disminución de sueldos, salarios y otras remuneraciones por pagar</v>
          </cell>
        </row>
        <row r="1118">
          <cell r="J1118" t="str">
            <v>4.11.02.00.00 Disminución de aportes patronales y retenciones laborales por pagar</v>
          </cell>
        </row>
        <row r="1119">
          <cell r="J1119" t="str">
            <v>4.11.02.01.00 Disminución de aportes patronales y retenciones laborales por pagar al Instituto Venezolano de los Seguros Sociales (IVSS)</v>
          </cell>
        </row>
        <row r="1120">
          <cell r="J1120" t="str">
            <v>4.11.02.02.00 Disminución de aportes patronales y retenciones laborales por pagar al Instituto de Previsión Social del Ministerio de Educación (Ipasme)</v>
          </cell>
        </row>
        <row r="1121">
          <cell r="J1121" t="str">
            <v>4.11.02.03.00 Disminución de aportes patronales y retenciones laborales por pagar al Fondo de Jubilaciones</v>
          </cell>
        </row>
        <row r="1122">
          <cell r="J1122" t="str">
            <v>4.11.02.04.00 Disminución de aportes patronales y retenciones laborales por pagar al Fondo de Seguro de Paro Forzoso</v>
          </cell>
        </row>
        <row r="1123">
          <cell r="J1123" t="str">
            <v>4.11.02.05.00 Disminución de aportes patronales y retenciones laborales por pagar al Fondo de Ahorro Habitacional</v>
          </cell>
        </row>
        <row r="1124">
          <cell r="J1124" t="str">
            <v xml:space="preserve"> 4.11.02.06.00 Disminución de aportes patronales y retenciones laborales por pagar al seguro de vida, accidentes personales, hospitalización, cirugía, maternidad (HCM) y gastos funerarios</v>
          </cell>
        </row>
        <row r="1125">
          <cell r="J1125" t="str">
            <v>4.11.02.07.00 Disminución de aportes patronales y retenciones laborales por pagar a cajas de ahorro</v>
          </cell>
        </row>
        <row r="1126">
          <cell r="J1126" t="str">
            <v>4.11.02.08.00 Disminución de aportes patronales por pagar a organismos de seguridad social</v>
          </cell>
        </row>
        <row r="1127">
          <cell r="J1127" t="str">
            <v>4.11.02.09.00 Disminución de retenciones laborales por pagar al Instituto</v>
          </cell>
        </row>
        <row r="1128">
          <cell r="J1128" t="str">
            <v>4.11.02.10.00 Disminución de retenciones laborales por pagar por pensión alimenticia Nacional de Cooperación Educativa (INCE)</v>
          </cell>
        </row>
        <row r="1129">
          <cell r="J1129" t="str">
            <v>4.11.02.98.00 Disminución de otros aportes legales por pagar</v>
          </cell>
        </row>
        <row r="1130">
          <cell r="J1130" t="str">
            <v>4.11.02.99.00 Disminución de otras retenciones laborales por pagar</v>
          </cell>
        </row>
        <row r="1131">
          <cell r="J1131" t="str">
            <v>4.11.03.00.00 Disminución de cuentas y efectos por pagar a proveedores</v>
          </cell>
        </row>
        <row r="1132">
          <cell r="J1132" t="str">
            <v>4.11.03.01.00 Disminución de cuentas por pagar a proveedores a corto plazo</v>
          </cell>
        </row>
        <row r="1133">
          <cell r="J1133" t="str">
            <v>4.11.03.02.00 Disminución de efectos por pagar a proveedores a corto plazo</v>
          </cell>
        </row>
        <row r="1134">
          <cell r="J1134" t="str">
            <v>4.11.03.03.00 Disminución de cuentas por pagar a proveedores a mediano y</v>
          </cell>
        </row>
        <row r="1135">
          <cell r="J1135" t="str">
            <v>4.11.03.04.00 Disminución de efectos por pagar a proveedores a mediano y</v>
          </cell>
        </row>
        <row r="1136">
          <cell r="J1136" t="str">
            <v>4.11.04.00.00 Disminución de cuentas y efectos por pagar a contratistas</v>
          </cell>
        </row>
        <row r="1137">
          <cell r="J1137" t="str">
            <v>4.11.04.01.00 Disminución de cuentas por pagar a contratistas a corto plazo</v>
          </cell>
        </row>
        <row r="1138">
          <cell r="J1138" t="str">
            <v>4.11.04.02.00 Disminución de efectos por pagar a contratistas a corto plazo</v>
          </cell>
        </row>
        <row r="1139">
          <cell r="J1139" t="str">
            <v>4.11.04.03.00 Disminución de cuentas por pagar a contratistas a mediano</v>
          </cell>
        </row>
        <row r="1140">
          <cell r="J1140" t="str">
            <v>4.11.04.04.00 Disminución de efectos por pagar a contratistas a mediano y</v>
          </cell>
        </row>
        <row r="1141">
          <cell r="J1141" t="str">
            <v>4.11.05.00.00 Disminución de intereses por pagar</v>
          </cell>
        </row>
        <row r="1142">
          <cell r="J1142" t="str">
            <v>4.11.05.01.00 Disminución de intereses internos por pagar</v>
          </cell>
        </row>
        <row r="1143">
          <cell r="J1143" t="str">
            <v>4.11.05.02.00 Disminución de intereses externos por pagar</v>
          </cell>
        </row>
        <row r="1144">
          <cell r="J1144" t="str">
            <v>4.11.06.00.00 Disminución de otras cuentas y efectos por pagar a corto</v>
          </cell>
        </row>
        <row r="1145">
          <cell r="J1145" t="str">
            <v>4.11.06.01.00 Disminución de obligaciones de ejercicios anteriores</v>
          </cell>
        </row>
        <row r="1146">
          <cell r="J1146" t="str">
            <v>4.11.06.02.00 Disminución de otras cuentas por pagar a corto plazo</v>
          </cell>
        </row>
        <row r="1147">
          <cell r="J1147" t="str">
            <v>4.11.06.03.00 Disminución de otros efectos por pagar a corto plazo</v>
          </cell>
        </row>
        <row r="1148">
          <cell r="J1148" t="str">
            <v>4.11.07.00.00 Disminución de pasivos diferidos</v>
          </cell>
        </row>
        <row r="1149">
          <cell r="J1149" t="str">
            <v>4.11.07.01.00 Disminución de pasivos diferidos a corto plazo</v>
          </cell>
        </row>
        <row r="1150">
          <cell r="J1150" t="str">
            <v>4.11.07.01.01 Disminución de rentas diferidas por recaudar a corto plazo</v>
          </cell>
        </row>
        <row r="1151">
          <cell r="J1151" t="str">
            <v>4.11.07.02.00 Disminución de pasivos diferidos a mediano y largo plazo</v>
          </cell>
        </row>
        <row r="1152">
          <cell r="J1152" t="str">
            <v>4.11.07.02.01 Disminución del rescate de certificados de reintegro tributario</v>
          </cell>
        </row>
        <row r="1153">
          <cell r="J1153" t="str">
            <v>4.11.07.02.02 Disminución del rescate de bonos de exportación</v>
          </cell>
        </row>
        <row r="1154">
          <cell r="J1154" t="str">
            <v>4.11.07.02.03 Disminución del rescate de bonos en dación de pagos</v>
          </cell>
        </row>
        <row r="1155">
          <cell r="J1155" t="str">
            <v>4.11.08.00.00 Disminución de provisiones y reservas técnicas</v>
          </cell>
        </row>
        <row r="1156">
          <cell r="J1156" t="str">
            <v>4.11.08.01.00 Disminución de provisiones</v>
          </cell>
        </row>
        <row r="1157">
          <cell r="J1157" t="str">
            <v>4.11.08.01.01 Disminución de provisiones para cuentas incobrables</v>
          </cell>
        </row>
        <row r="1158">
          <cell r="J1158" t="str">
            <v>4.11.08.01.02 Disminución de provisiones para despidos</v>
          </cell>
        </row>
        <row r="1159">
          <cell r="J1159" t="str">
            <v>4.11.08.01.03 Disminución de provisiones para pérdidas en el inventario</v>
          </cell>
        </row>
        <row r="1160">
          <cell r="J1160" t="str">
            <v>4.11.08.01.04 Disminución de provisiones para beneficios sociales</v>
          </cell>
        </row>
        <row r="1161">
          <cell r="J1161" t="str">
            <v>4.11.08.01.99 Disminución de otras provisiones</v>
          </cell>
        </row>
        <row r="1162">
          <cell r="J1162" t="str">
            <v>4.11.08.02.00 Disminución de reservas técnicas</v>
          </cell>
        </row>
        <row r="1163">
          <cell r="J1163" t="str">
            <v>4.11.09.00.00 Disminución de fondos de terceros</v>
          </cell>
        </row>
        <row r="1164">
          <cell r="J1164" t="str">
            <v>4.11.09.01.00 Disminución de depósitos recibidos en garantía</v>
          </cell>
        </row>
        <row r="1165">
          <cell r="J1165" t="str">
            <v>4.11.09.99.00 Disminución de otros fondos de terceros</v>
          </cell>
        </row>
        <row r="1166">
          <cell r="J1166" t="str">
            <v>4.11.10.00.00 Disminución de depósitos de instituciones financieras</v>
          </cell>
        </row>
        <row r="1167">
          <cell r="J1167" t="str">
            <v>4.11.10.01.00 Disminución de depósitos a la vista</v>
          </cell>
        </row>
        <row r="1168">
          <cell r="J1168" t="str">
            <v>4.11.10.01.01 Disminución de depósitos de terceros a la vista de organismos del sector público</v>
          </cell>
        </row>
        <row r="1169">
          <cell r="J1169" t="str">
            <v>4.11.10.01.02 Disminución de depósitos de terceros a la vista de personas naturales y jurídicas del sector privado</v>
          </cell>
        </row>
        <row r="1170">
          <cell r="J1170" t="str">
            <v>4.11.10.02.00 Disminución de depósitos a plazo fijo</v>
          </cell>
        </row>
        <row r="1171">
          <cell r="J1171" t="str">
            <v>4.11.10.02.01 Disminución de depósitos a plazo fijo de organismos del sector público</v>
          </cell>
        </row>
        <row r="1172">
          <cell r="J1172" t="str">
            <v>4.11.10.02.02 Disminución de depósitos a plazo fijo de personas naturales y jurídicas del sector privado</v>
          </cell>
        </row>
        <row r="1173">
          <cell r="J1173" t="str">
            <v>4.11.11.00.00 Obligaciones de ejercicios anteriores</v>
          </cell>
        </row>
        <row r="1174">
          <cell r="J1174" t="str">
            <v>4.11.11.01.00 Devoluciones de cobros indebidos</v>
          </cell>
        </row>
        <row r="1175">
          <cell r="J1175" t="str">
            <v>4.11.11.02.00 Devoluciones y reintegros diversos</v>
          </cell>
        </row>
        <row r="1176">
          <cell r="J1176" t="str">
            <v>4.11.11.03.00 Indemnizaciones diversas</v>
          </cell>
        </row>
        <row r="1177">
          <cell r="J1177" t="str">
            <v>4.11.11.04.00 Compromisos pendientes de ejercicios anteriores</v>
          </cell>
        </row>
        <row r="1178">
          <cell r="J1178" t="str">
            <v>4.11.11.05.00 Prestaciones de antigüedad originadas por la aplicación de la Ley Orgánica del Trabajo</v>
          </cell>
        </row>
        <row r="1179">
          <cell r="J1179" t="str">
            <v>4.11.98.00.00 Disminución de otros pasivos a corto plazo</v>
          </cell>
        </row>
        <row r="1180">
          <cell r="J1180" t="str">
            <v>4.11.98.01.00 Disminución de otros pasivos a corto plazo</v>
          </cell>
        </row>
        <row r="1181">
          <cell r="J1181" t="str">
            <v>4.11.99.00.00 Disminución de otros pasivos a mediano y largo plazo</v>
          </cell>
        </row>
        <row r="1182">
          <cell r="J1182" t="str">
            <v>4.11.99.01.00 Disminución de otros pasivos a mediano y largo plazo</v>
          </cell>
        </row>
        <row r="1183">
          <cell r="J1183" t="str">
            <v>4.12.00.00.00 DISMINUCIÓN DEL PATRIMONIO</v>
          </cell>
        </row>
        <row r="1184">
          <cell r="J1184" t="str">
            <v>4.12.01.00.00 Disminución del capital</v>
          </cell>
        </row>
        <row r="1185">
          <cell r="J1185" t="str">
            <v>4.12.01.01.00 Disminución del capital fiscal e institucional</v>
          </cell>
        </row>
        <row r="1186">
          <cell r="J1186" t="str">
            <v>4.12.01.02.00 Disminución de aportes por capitalizar</v>
          </cell>
        </row>
        <row r="1187">
          <cell r="J1187" t="str">
            <v>4.12.01.03.00 Disminución de dividendos a distribuir</v>
          </cell>
        </row>
        <row r="1188">
          <cell r="J1188" t="str">
            <v>4.12.02.00.00 Disminución de reservas</v>
          </cell>
        </row>
        <row r="1189">
          <cell r="J1189" t="str">
            <v>4.12.02.01.00 Disminución de reservas</v>
          </cell>
        </row>
        <row r="1190">
          <cell r="J1190" t="str">
            <v>4.12.03.00.00 Ajuste por inflación</v>
          </cell>
        </row>
        <row r="1191">
          <cell r="J1191" t="str">
            <v>4.12.03.01.00 Ajuste por inflación</v>
          </cell>
        </row>
        <row r="1192">
          <cell r="J1192" t="str">
            <v>4.12.04.00.00 Disminución de resultados</v>
          </cell>
        </row>
        <row r="1193">
          <cell r="J1193" t="str">
            <v>4.12.04.01.00 Disminución de resultados acumulados</v>
          </cell>
        </row>
        <row r="1194">
          <cell r="J1194" t="str">
            <v>4.12.04.02.00 Disminución de resultados del ejercicio</v>
          </cell>
        </row>
        <row r="1195">
          <cell r="J1195" t="str">
            <v>4.98.00.00.00 RECTIFICACIONES AL PRESUPUESTO</v>
          </cell>
        </row>
        <row r="1196">
          <cell r="J1196" t="str">
            <v>4.98.01.00.00 Rectificaciones al presupuesto</v>
          </cell>
        </row>
        <row r="1197">
          <cell r="J1197" t="str">
            <v>4.98.01.01.00 Rectificaciones al presupuesto</v>
          </cell>
        </row>
        <row r="1198">
          <cell r="J1198" t="str">
            <v>Varias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s"/>
      <sheetName val="Entes"/>
      <sheetName val="Situado"/>
      <sheetName val="4.01"/>
      <sheetName val="Sect.Soc."/>
      <sheetName val="Transf. EDCFNP"/>
    </sheetNames>
    <sheetDataSet>
      <sheetData sheetId="0"/>
      <sheetData sheetId="1">
        <row r="280">
          <cell r="E280">
            <v>246419906182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3"/>
  <sheetViews>
    <sheetView tabSelected="1" workbookViewId="0">
      <pane ySplit="11" topLeftCell="A12" activePane="bottomLeft" state="frozen"/>
      <selection pane="bottomLeft" activeCell="F12" sqref="F12"/>
    </sheetView>
  </sheetViews>
  <sheetFormatPr defaultColWidth="11.5546875" defaultRowHeight="14.4" x14ac:dyDescent="0.3"/>
  <cols>
    <col min="1" max="1" width="7.6640625" style="3" customWidth="1"/>
    <col min="2" max="2" width="10.5546875" style="3" customWidth="1"/>
    <col min="3" max="3" width="11.44140625" style="6"/>
    <col min="4" max="4" width="13.109375" style="6" customWidth="1"/>
    <col min="5" max="5" width="11.44140625" style="3"/>
    <col min="6" max="6" width="42.88671875" style="7" customWidth="1"/>
    <col min="7" max="7" width="45.44140625" style="42" customWidth="1"/>
    <col min="8" max="8" width="17.33203125" style="71" bestFit="1" customWidth="1"/>
    <col min="9" max="9" width="17.33203125" style="6" bestFit="1" customWidth="1"/>
    <col min="10" max="10" width="17.33203125" style="3" bestFit="1" customWidth="1"/>
    <col min="11" max="11" width="19.88671875" style="6" bestFit="1" customWidth="1"/>
  </cols>
  <sheetData>
    <row r="1" spans="1:11" ht="21" customHeight="1" x14ac:dyDescent="0.3">
      <c r="A1" s="121" t="s">
        <v>644</v>
      </c>
      <c r="B1" s="122"/>
      <c r="C1" s="122"/>
      <c r="D1" s="122"/>
      <c r="E1" s="122"/>
      <c r="F1" s="122"/>
      <c r="G1" s="123"/>
    </row>
    <row r="2" spans="1:11" ht="15" customHeight="1" x14ac:dyDescent="0.3">
      <c r="A2" s="153" t="s">
        <v>576</v>
      </c>
      <c r="B2" s="153"/>
      <c r="C2" s="153"/>
      <c r="D2" s="153"/>
      <c r="E2" s="153"/>
      <c r="F2" s="153"/>
      <c r="G2" s="153"/>
    </row>
    <row r="3" spans="1:11" x14ac:dyDescent="0.3">
      <c r="A3" s="153"/>
      <c r="B3" s="153"/>
      <c r="C3" s="153"/>
      <c r="D3" s="153"/>
      <c r="E3" s="153"/>
      <c r="F3" s="153"/>
      <c r="G3" s="153"/>
    </row>
    <row r="4" spans="1:11" x14ac:dyDescent="0.3">
      <c r="A4" s="153"/>
      <c r="B4" s="153"/>
      <c r="C4" s="153"/>
      <c r="D4" s="153"/>
      <c r="E4" s="153"/>
      <c r="F4" s="153"/>
      <c r="G4" s="153"/>
    </row>
    <row r="5" spans="1:11" x14ac:dyDescent="0.3">
      <c r="A5" s="153"/>
      <c r="B5" s="153"/>
      <c r="C5" s="153"/>
      <c r="D5" s="153"/>
      <c r="E5" s="153"/>
      <c r="F5" s="153"/>
      <c r="G5" s="153"/>
    </row>
    <row r="6" spans="1:11" x14ac:dyDescent="0.3">
      <c r="A6" s="153"/>
      <c r="B6" s="153"/>
      <c r="C6" s="153"/>
      <c r="D6" s="153"/>
      <c r="E6" s="153"/>
      <c r="F6" s="153"/>
      <c r="G6" s="153"/>
    </row>
    <row r="7" spans="1:11" ht="5.25" customHeight="1" x14ac:dyDescent="0.3">
      <c r="A7" s="153"/>
      <c r="B7" s="153"/>
      <c r="C7" s="153"/>
      <c r="D7" s="153"/>
      <c r="E7" s="153"/>
      <c r="F7" s="153"/>
      <c r="G7" s="153"/>
    </row>
    <row r="8" spans="1:11" ht="3" customHeight="1" x14ac:dyDescent="0.3">
      <c r="A8" s="153"/>
      <c r="B8" s="153"/>
      <c r="C8" s="153"/>
      <c r="D8" s="153"/>
      <c r="E8" s="153"/>
      <c r="F8" s="153"/>
      <c r="G8" s="153"/>
    </row>
    <row r="9" spans="1:11" ht="11.25" hidden="1" customHeight="1" x14ac:dyDescent="0.3">
      <c r="A9" s="153"/>
      <c r="B9" s="153"/>
      <c r="C9" s="153"/>
      <c r="D9" s="153"/>
      <c r="E9" s="153"/>
      <c r="F9" s="153"/>
      <c r="G9" s="153"/>
    </row>
    <row r="10" spans="1:11" ht="2.25" customHeight="1" x14ac:dyDescent="0.3">
      <c r="A10" s="154"/>
      <c r="B10" s="154"/>
      <c r="C10" s="154"/>
      <c r="D10" s="154"/>
      <c r="E10" s="154"/>
      <c r="F10" s="154"/>
      <c r="G10" s="154"/>
    </row>
    <row r="11" spans="1:11" ht="27.6" x14ac:dyDescent="0.3">
      <c r="A11" s="8" t="s">
        <v>0</v>
      </c>
      <c r="B11" s="8" t="s">
        <v>1</v>
      </c>
      <c r="C11" s="9" t="s">
        <v>2</v>
      </c>
      <c r="D11" s="9" t="s">
        <v>8</v>
      </c>
      <c r="E11" s="8" t="s">
        <v>3</v>
      </c>
      <c r="F11" s="8" t="s">
        <v>4</v>
      </c>
      <c r="G11" s="8" t="s">
        <v>5</v>
      </c>
      <c r="H11" s="9" t="s">
        <v>6</v>
      </c>
      <c r="I11" s="9" t="s">
        <v>10</v>
      </c>
      <c r="J11" s="8" t="s">
        <v>17</v>
      </c>
      <c r="K11" s="9" t="s">
        <v>11</v>
      </c>
    </row>
    <row r="12" spans="1:11" x14ac:dyDescent="0.3">
      <c r="A12" s="30">
        <v>2</v>
      </c>
      <c r="B12" s="15">
        <v>42787</v>
      </c>
      <c r="C12" s="17">
        <v>41100</v>
      </c>
      <c r="D12" s="17">
        <v>2725</v>
      </c>
      <c r="E12" s="30" t="s">
        <v>15</v>
      </c>
      <c r="F12" s="10" t="s">
        <v>7</v>
      </c>
      <c r="G12" s="20" t="s">
        <v>12</v>
      </c>
      <c r="H12" s="18">
        <v>3211258012</v>
      </c>
      <c r="I12" s="17" t="s">
        <v>177</v>
      </c>
      <c r="J12" s="17" t="s">
        <v>177</v>
      </c>
      <c r="K12" s="18">
        <v>3211258012</v>
      </c>
    </row>
    <row r="13" spans="1:11" s="4" customFormat="1" ht="27.6" x14ac:dyDescent="0.3">
      <c r="A13" s="25">
        <v>3</v>
      </c>
      <c r="B13" s="12">
        <v>42808</v>
      </c>
      <c r="C13" s="31">
        <v>41113</v>
      </c>
      <c r="D13" s="31">
        <v>2744</v>
      </c>
      <c r="E13" s="25" t="s">
        <v>15</v>
      </c>
      <c r="F13" s="11" t="s">
        <v>9</v>
      </c>
      <c r="G13" s="20" t="s">
        <v>13</v>
      </c>
      <c r="H13" s="31">
        <v>4000000000</v>
      </c>
      <c r="I13" s="31" t="s">
        <v>177</v>
      </c>
      <c r="J13" s="31" t="s">
        <v>177</v>
      </c>
      <c r="K13" s="31">
        <v>4000000000</v>
      </c>
    </row>
    <row r="14" spans="1:11" ht="27.6" x14ac:dyDescent="0.3">
      <c r="A14" s="25">
        <v>3</v>
      </c>
      <c r="B14" s="12">
        <v>42808</v>
      </c>
      <c r="C14" s="31">
        <v>41113</v>
      </c>
      <c r="D14" s="17">
        <v>2745</v>
      </c>
      <c r="E14" s="30" t="s">
        <v>15</v>
      </c>
      <c r="F14" s="11" t="s">
        <v>9</v>
      </c>
      <c r="G14" s="20" t="s">
        <v>13</v>
      </c>
      <c r="H14" s="17">
        <v>2531250000</v>
      </c>
      <c r="I14" s="17" t="s">
        <v>177</v>
      </c>
      <c r="J14" s="17" t="s">
        <v>177</v>
      </c>
      <c r="K14" s="17">
        <v>2531250000</v>
      </c>
    </row>
    <row r="15" spans="1:11" x14ac:dyDescent="0.3">
      <c r="A15" s="25">
        <v>3</v>
      </c>
      <c r="B15" s="12">
        <v>42808</v>
      </c>
      <c r="C15" s="31">
        <v>41113</v>
      </c>
      <c r="D15" s="17">
        <v>2746</v>
      </c>
      <c r="E15" s="30" t="s">
        <v>15</v>
      </c>
      <c r="F15" s="10" t="s">
        <v>7</v>
      </c>
      <c r="G15" s="20" t="s">
        <v>12</v>
      </c>
      <c r="H15" s="18">
        <v>1840149236</v>
      </c>
      <c r="I15" s="17" t="s">
        <v>177</v>
      </c>
      <c r="J15" s="17" t="s">
        <v>177</v>
      </c>
      <c r="K15" s="18">
        <v>1840149236</v>
      </c>
    </row>
    <row r="16" spans="1:11" x14ac:dyDescent="0.3">
      <c r="A16" s="25">
        <v>3</v>
      </c>
      <c r="B16" s="12">
        <v>42815</v>
      </c>
      <c r="C16" s="31">
        <v>41118</v>
      </c>
      <c r="D16" s="17">
        <v>2769</v>
      </c>
      <c r="E16" s="30" t="s">
        <v>15</v>
      </c>
      <c r="F16" s="10" t="s">
        <v>14</v>
      </c>
      <c r="G16" s="39" t="s">
        <v>177</v>
      </c>
      <c r="H16" s="18" t="s">
        <v>177</v>
      </c>
      <c r="I16" s="17">
        <v>2478129167</v>
      </c>
      <c r="J16" s="17">
        <f>K16-I16</f>
        <v>5068816415</v>
      </c>
      <c r="K16" s="18">
        <v>7546945582</v>
      </c>
    </row>
    <row r="17" spans="1:11" x14ac:dyDescent="0.3">
      <c r="A17" s="39">
        <v>3</v>
      </c>
      <c r="B17" s="15">
        <v>42815</v>
      </c>
      <c r="C17" s="16">
        <v>41118</v>
      </c>
      <c r="D17" s="17">
        <v>2770</v>
      </c>
      <c r="E17" s="30" t="s">
        <v>15</v>
      </c>
      <c r="F17" s="10" t="s">
        <v>14</v>
      </c>
      <c r="G17" s="39" t="s">
        <v>177</v>
      </c>
      <c r="H17" s="25" t="s">
        <v>177</v>
      </c>
      <c r="I17" s="17">
        <v>2856944387</v>
      </c>
      <c r="J17" s="17" t="s">
        <v>177</v>
      </c>
      <c r="K17" s="17">
        <v>2856944387</v>
      </c>
    </row>
    <row r="18" spans="1:11" x14ac:dyDescent="0.3">
      <c r="A18" s="39">
        <v>3</v>
      </c>
      <c r="B18" s="15">
        <v>42815</v>
      </c>
      <c r="C18" s="16">
        <v>41118</v>
      </c>
      <c r="D18" s="17">
        <v>2771</v>
      </c>
      <c r="E18" s="30" t="s">
        <v>15</v>
      </c>
      <c r="F18" s="10" t="s">
        <v>14</v>
      </c>
      <c r="G18" s="40" t="s">
        <v>16</v>
      </c>
      <c r="H18" s="17">
        <v>42000000</v>
      </c>
      <c r="I18" s="17" t="s">
        <v>177</v>
      </c>
      <c r="J18" s="17">
        <f>K18-H18</f>
        <v>401555388</v>
      </c>
      <c r="K18" s="17">
        <v>443555388</v>
      </c>
    </row>
    <row r="19" spans="1:11" x14ac:dyDescent="0.3">
      <c r="A19" s="39">
        <v>3</v>
      </c>
      <c r="B19" s="15">
        <v>42815</v>
      </c>
      <c r="C19" s="16">
        <v>41118</v>
      </c>
      <c r="D19" s="17">
        <v>2772</v>
      </c>
      <c r="E19" s="30" t="s">
        <v>15</v>
      </c>
      <c r="F19" s="10" t="s">
        <v>14</v>
      </c>
      <c r="G19" s="40" t="s">
        <v>16</v>
      </c>
      <c r="H19" s="17">
        <v>42000000</v>
      </c>
      <c r="I19" s="17" t="s">
        <v>177</v>
      </c>
      <c r="J19" s="17">
        <f>K19-H19</f>
        <v>69909232</v>
      </c>
      <c r="K19" s="17">
        <v>111909232</v>
      </c>
    </row>
    <row r="20" spans="1:11" x14ac:dyDescent="0.3">
      <c r="A20" s="39">
        <v>3</v>
      </c>
      <c r="B20" s="15">
        <v>42815</v>
      </c>
      <c r="C20" s="16">
        <v>41118</v>
      </c>
      <c r="D20" s="17">
        <v>2773</v>
      </c>
      <c r="E20" s="30" t="s">
        <v>15</v>
      </c>
      <c r="F20" s="10" t="s">
        <v>7</v>
      </c>
      <c r="G20" s="20" t="s">
        <v>12</v>
      </c>
      <c r="H20" s="14">
        <v>13182835201</v>
      </c>
      <c r="I20" s="17" t="s">
        <v>177</v>
      </c>
      <c r="J20" s="17" t="s">
        <v>177</v>
      </c>
      <c r="K20" s="14">
        <v>13182835201</v>
      </c>
    </row>
    <row r="21" spans="1:11" x14ac:dyDescent="0.3">
      <c r="A21" s="39">
        <v>3</v>
      </c>
      <c r="B21" s="15">
        <v>42815</v>
      </c>
      <c r="C21" s="16">
        <v>41118</v>
      </c>
      <c r="D21" s="17">
        <v>2774</v>
      </c>
      <c r="E21" s="30" t="s">
        <v>15</v>
      </c>
      <c r="F21" s="10" t="s">
        <v>7</v>
      </c>
      <c r="G21" s="20" t="s">
        <v>12</v>
      </c>
      <c r="H21" s="17">
        <v>8799397307</v>
      </c>
      <c r="I21" s="17" t="s">
        <v>177</v>
      </c>
      <c r="J21" s="17" t="s">
        <v>177</v>
      </c>
      <c r="K21" s="17">
        <v>8799397307</v>
      </c>
    </row>
    <row r="22" spans="1:11" x14ac:dyDescent="0.3">
      <c r="A22" s="39">
        <v>3</v>
      </c>
      <c r="B22" s="15">
        <v>42815</v>
      </c>
      <c r="C22" s="16">
        <v>41118</v>
      </c>
      <c r="D22" s="17">
        <v>2775</v>
      </c>
      <c r="E22" s="30" t="s">
        <v>15</v>
      </c>
      <c r="F22" s="10" t="s">
        <v>18</v>
      </c>
      <c r="G22" s="20" t="s">
        <v>19</v>
      </c>
      <c r="H22" s="17">
        <f>25295000+274705000</f>
        <v>300000000</v>
      </c>
      <c r="I22" s="17">
        <v>332939221</v>
      </c>
      <c r="J22" s="17">
        <f>K22-H22-I22</f>
        <v>46309474</v>
      </c>
      <c r="K22" s="17">
        <v>679248695</v>
      </c>
    </row>
    <row r="23" spans="1:11" ht="27.6" x14ac:dyDescent="0.3">
      <c r="A23" s="39">
        <v>3</v>
      </c>
      <c r="B23" s="15">
        <v>42815</v>
      </c>
      <c r="C23" s="16">
        <v>41118</v>
      </c>
      <c r="D23" s="17">
        <v>2776</v>
      </c>
      <c r="E23" s="30" t="s">
        <v>15</v>
      </c>
      <c r="F23" s="11" t="s">
        <v>20</v>
      </c>
      <c r="G23" s="13" t="s">
        <v>177</v>
      </c>
      <c r="H23" s="17" t="s">
        <v>177</v>
      </c>
      <c r="I23" s="17" t="s">
        <v>177</v>
      </c>
      <c r="J23" s="17">
        <f>K23</f>
        <v>131955446</v>
      </c>
      <c r="K23" s="17">
        <v>131955446</v>
      </c>
    </row>
    <row r="24" spans="1:11" ht="27.6" x14ac:dyDescent="0.3">
      <c r="A24" s="39">
        <v>4</v>
      </c>
      <c r="B24" s="15">
        <v>42832</v>
      </c>
      <c r="C24" s="16">
        <v>41131</v>
      </c>
      <c r="D24" s="17">
        <v>2801</v>
      </c>
      <c r="E24" s="30" t="s">
        <v>15</v>
      </c>
      <c r="F24" s="11" t="s">
        <v>21</v>
      </c>
      <c r="G24" s="20" t="s">
        <v>22</v>
      </c>
      <c r="H24" s="72">
        <v>368645550</v>
      </c>
      <c r="I24" s="17" t="s">
        <v>177</v>
      </c>
      <c r="J24" s="17" t="s">
        <v>177</v>
      </c>
      <c r="K24" s="21">
        <f>368645550</f>
        <v>368645550</v>
      </c>
    </row>
    <row r="25" spans="1:11" ht="27.6" x14ac:dyDescent="0.3">
      <c r="A25" s="39">
        <v>4</v>
      </c>
      <c r="B25" s="15">
        <v>42832</v>
      </c>
      <c r="C25" s="16">
        <v>41131</v>
      </c>
      <c r="D25" s="17">
        <v>2802</v>
      </c>
      <c r="E25" s="30" t="s">
        <v>15</v>
      </c>
      <c r="F25" s="11" t="s">
        <v>21</v>
      </c>
      <c r="G25" s="75" t="s">
        <v>575</v>
      </c>
      <c r="H25" s="39"/>
      <c r="I25" s="39"/>
      <c r="J25" s="80"/>
      <c r="K25" s="21">
        <v>755000000</v>
      </c>
    </row>
    <row r="26" spans="1:11" ht="27.6" x14ac:dyDescent="0.3">
      <c r="A26" s="39">
        <v>4</v>
      </c>
      <c r="B26" s="15">
        <v>42842</v>
      </c>
      <c r="C26" s="16">
        <v>41132</v>
      </c>
      <c r="D26" s="17">
        <v>2804</v>
      </c>
      <c r="E26" s="30" t="s">
        <v>15</v>
      </c>
      <c r="F26" s="11" t="s">
        <v>21</v>
      </c>
      <c r="G26" s="20" t="s">
        <v>22</v>
      </c>
      <c r="H26" s="72">
        <f>368645550</f>
        <v>368645550</v>
      </c>
      <c r="I26" s="17" t="s">
        <v>177</v>
      </c>
      <c r="J26" s="17" t="s">
        <v>177</v>
      </c>
      <c r="K26" s="21">
        <f>368645550</f>
        <v>368645550</v>
      </c>
    </row>
    <row r="27" spans="1:11" ht="27.6" x14ac:dyDescent="0.3">
      <c r="A27" s="39">
        <v>4</v>
      </c>
      <c r="B27" s="15">
        <v>42843</v>
      </c>
      <c r="C27" s="16">
        <v>41133</v>
      </c>
      <c r="D27" s="17">
        <v>2814</v>
      </c>
      <c r="E27" s="30" t="s">
        <v>15</v>
      </c>
      <c r="F27" s="11" t="s">
        <v>9</v>
      </c>
      <c r="G27" s="20" t="s">
        <v>23</v>
      </c>
      <c r="H27" s="14">
        <v>7413520488</v>
      </c>
      <c r="I27" s="17" t="s">
        <v>177</v>
      </c>
      <c r="J27" s="17" t="s">
        <v>177</v>
      </c>
      <c r="K27" s="14">
        <v>7413520488</v>
      </c>
    </row>
    <row r="28" spans="1:11" x14ac:dyDescent="0.3">
      <c r="A28" s="39">
        <v>4</v>
      </c>
      <c r="B28" s="15">
        <v>42843</v>
      </c>
      <c r="C28" s="16">
        <v>41133</v>
      </c>
      <c r="D28" s="17">
        <v>2815</v>
      </c>
      <c r="E28" s="30" t="s">
        <v>15</v>
      </c>
      <c r="F28" s="11" t="s">
        <v>7</v>
      </c>
      <c r="G28" s="20" t="s">
        <v>12</v>
      </c>
      <c r="H28" s="14">
        <v>25508472363</v>
      </c>
      <c r="I28" s="17" t="s">
        <v>177</v>
      </c>
      <c r="J28" s="17" t="s">
        <v>177</v>
      </c>
      <c r="K28" s="14">
        <v>25508472363</v>
      </c>
    </row>
    <row r="29" spans="1:11" x14ac:dyDescent="0.3">
      <c r="A29" s="39">
        <v>4</v>
      </c>
      <c r="B29" s="15">
        <v>42843</v>
      </c>
      <c r="C29" s="16">
        <v>41133</v>
      </c>
      <c r="D29" s="17">
        <v>2816</v>
      </c>
      <c r="E29" s="30" t="s">
        <v>15</v>
      </c>
      <c r="F29" s="11" t="s">
        <v>7</v>
      </c>
      <c r="G29" s="20" t="s">
        <v>12</v>
      </c>
      <c r="H29" s="14">
        <v>14612759000</v>
      </c>
      <c r="I29" s="17" t="s">
        <v>177</v>
      </c>
      <c r="J29" s="17" t="s">
        <v>177</v>
      </c>
      <c r="K29" s="14">
        <v>14612759000</v>
      </c>
    </row>
    <row r="30" spans="1:11" x14ac:dyDescent="0.3">
      <c r="A30" s="39">
        <v>4</v>
      </c>
      <c r="B30" s="15">
        <v>42843</v>
      </c>
      <c r="C30" s="16">
        <v>41133</v>
      </c>
      <c r="D30" s="17">
        <v>2817</v>
      </c>
      <c r="E30" s="30" t="s">
        <v>15</v>
      </c>
      <c r="F30" s="11" t="s">
        <v>7</v>
      </c>
      <c r="G30" s="20" t="s">
        <v>12</v>
      </c>
      <c r="H30" s="14">
        <v>1000177589</v>
      </c>
      <c r="I30" s="17" t="s">
        <v>177</v>
      </c>
      <c r="J30" s="17" t="s">
        <v>177</v>
      </c>
      <c r="K30" s="14">
        <v>1000177589</v>
      </c>
    </row>
    <row r="31" spans="1:11" x14ac:dyDescent="0.3">
      <c r="A31" s="143">
        <v>4</v>
      </c>
      <c r="B31" s="140">
        <v>42850</v>
      </c>
      <c r="C31" s="144">
        <v>6294</v>
      </c>
      <c r="D31" s="127">
        <v>2823</v>
      </c>
      <c r="E31" s="125" t="s">
        <v>15</v>
      </c>
      <c r="F31" s="11" t="s">
        <v>24</v>
      </c>
      <c r="G31" s="17" t="s">
        <v>177</v>
      </c>
      <c r="H31" s="24">
        <v>25401805907</v>
      </c>
      <c r="I31" s="29">
        <v>3725616334</v>
      </c>
      <c r="J31" s="30" t="s">
        <v>177</v>
      </c>
      <c r="K31" s="148">
        <v>313263761500</v>
      </c>
    </row>
    <row r="32" spans="1:11" x14ac:dyDescent="0.3">
      <c r="A32" s="143"/>
      <c r="B32" s="140"/>
      <c r="C32" s="144"/>
      <c r="D32" s="127"/>
      <c r="E32" s="125"/>
      <c r="F32" s="11" t="s">
        <v>25</v>
      </c>
      <c r="G32" s="17" t="s">
        <v>177</v>
      </c>
      <c r="H32" s="24">
        <v>18893772650</v>
      </c>
      <c r="I32" s="72">
        <v>18893772650</v>
      </c>
      <c r="J32" s="30" t="s">
        <v>177</v>
      </c>
      <c r="K32" s="148"/>
    </row>
    <row r="33" spans="1:11" x14ac:dyDescent="0.3">
      <c r="A33" s="143"/>
      <c r="B33" s="140"/>
      <c r="C33" s="144"/>
      <c r="D33" s="127"/>
      <c r="E33" s="125"/>
      <c r="F33" s="11" t="s">
        <v>26</v>
      </c>
      <c r="G33" s="17" t="s">
        <v>177</v>
      </c>
      <c r="H33" s="24">
        <v>285453878</v>
      </c>
      <c r="I33" s="72">
        <v>230278012</v>
      </c>
      <c r="J33" s="30" t="s">
        <v>177</v>
      </c>
      <c r="K33" s="148"/>
    </row>
    <row r="34" spans="1:11" ht="27.6" x14ac:dyDescent="0.3">
      <c r="A34" s="143"/>
      <c r="B34" s="140"/>
      <c r="C34" s="144"/>
      <c r="D34" s="127"/>
      <c r="E34" s="125"/>
      <c r="F34" s="11" t="s">
        <v>27</v>
      </c>
      <c r="G34" s="17" t="s">
        <v>177</v>
      </c>
      <c r="H34" s="24">
        <v>15454706416</v>
      </c>
      <c r="I34" s="72">
        <v>7155236169</v>
      </c>
      <c r="J34" s="30" t="s">
        <v>177</v>
      </c>
      <c r="K34" s="148"/>
    </row>
    <row r="35" spans="1:11" x14ac:dyDescent="0.3">
      <c r="A35" s="143"/>
      <c r="B35" s="140"/>
      <c r="C35" s="144"/>
      <c r="D35" s="127"/>
      <c r="E35" s="125"/>
      <c r="F35" s="11" t="s">
        <v>28</v>
      </c>
      <c r="G35" s="17" t="s">
        <v>177</v>
      </c>
      <c r="H35" s="24">
        <v>4734695326</v>
      </c>
      <c r="I35" s="72">
        <f>2688681303+1604606897</f>
        <v>4293288200</v>
      </c>
      <c r="J35" s="30" t="s">
        <v>177</v>
      </c>
      <c r="K35" s="148"/>
    </row>
    <row r="36" spans="1:11" ht="27.6" x14ac:dyDescent="0.3">
      <c r="A36" s="143"/>
      <c r="B36" s="140"/>
      <c r="C36" s="144"/>
      <c r="D36" s="127"/>
      <c r="E36" s="125"/>
      <c r="F36" s="11" t="s">
        <v>20</v>
      </c>
      <c r="G36" s="17" t="s">
        <v>177</v>
      </c>
      <c r="H36" s="24">
        <v>1366664692</v>
      </c>
      <c r="I36" s="30" t="s">
        <v>177</v>
      </c>
      <c r="J36" s="30" t="s">
        <v>177</v>
      </c>
      <c r="K36" s="148"/>
    </row>
    <row r="37" spans="1:11" ht="27.6" x14ac:dyDescent="0.3">
      <c r="A37" s="143"/>
      <c r="B37" s="140"/>
      <c r="C37" s="144"/>
      <c r="D37" s="127"/>
      <c r="E37" s="125"/>
      <c r="F37" s="11" t="s">
        <v>21</v>
      </c>
      <c r="G37" s="17" t="s">
        <v>177</v>
      </c>
      <c r="H37" s="24">
        <v>5137559198</v>
      </c>
      <c r="I37" s="30" t="s">
        <v>177</v>
      </c>
      <c r="J37" s="30" t="s">
        <v>177</v>
      </c>
      <c r="K37" s="148"/>
    </row>
    <row r="38" spans="1:11" x14ac:dyDescent="0.3">
      <c r="A38" s="143"/>
      <c r="B38" s="140"/>
      <c r="C38" s="144"/>
      <c r="D38" s="127"/>
      <c r="E38" s="125"/>
      <c r="F38" s="11" t="s">
        <v>29</v>
      </c>
      <c r="G38" s="17" t="s">
        <v>177</v>
      </c>
      <c r="H38" s="24">
        <v>123413339151</v>
      </c>
      <c r="I38" s="29">
        <v>72501291321</v>
      </c>
      <c r="J38" s="30"/>
      <c r="K38" s="148"/>
    </row>
    <row r="39" spans="1:11" x14ac:dyDescent="0.3">
      <c r="A39" s="143"/>
      <c r="B39" s="140"/>
      <c r="C39" s="144"/>
      <c r="D39" s="127"/>
      <c r="E39" s="125"/>
      <c r="F39" s="11" t="s">
        <v>30</v>
      </c>
      <c r="G39" s="17" t="s">
        <v>177</v>
      </c>
      <c r="H39" s="24">
        <v>35948512361</v>
      </c>
      <c r="I39" s="30" t="s">
        <v>177</v>
      </c>
      <c r="J39" s="30" t="s">
        <v>177</v>
      </c>
      <c r="K39" s="148"/>
    </row>
    <row r="40" spans="1:11" ht="27.6" x14ac:dyDescent="0.3">
      <c r="A40" s="143"/>
      <c r="B40" s="140"/>
      <c r="C40" s="144"/>
      <c r="D40" s="127"/>
      <c r="E40" s="125"/>
      <c r="F40" s="11" t="s">
        <v>31</v>
      </c>
      <c r="G40" s="17" t="s">
        <v>177</v>
      </c>
      <c r="H40" s="24">
        <v>4756363370</v>
      </c>
      <c r="I40" s="72">
        <v>4536638471</v>
      </c>
      <c r="J40" s="30" t="s">
        <v>177</v>
      </c>
      <c r="K40" s="148"/>
    </row>
    <row r="41" spans="1:11" ht="27.6" x14ac:dyDescent="0.3">
      <c r="A41" s="143"/>
      <c r="B41" s="140"/>
      <c r="C41" s="144"/>
      <c r="D41" s="127"/>
      <c r="E41" s="125"/>
      <c r="F41" s="11" t="s">
        <v>32</v>
      </c>
      <c r="G41" s="17" t="s">
        <v>177</v>
      </c>
      <c r="H41" s="24">
        <v>13337787216</v>
      </c>
      <c r="I41" s="72">
        <v>3518859934</v>
      </c>
      <c r="J41" s="30" t="s">
        <v>177</v>
      </c>
      <c r="K41" s="148"/>
    </row>
    <row r="42" spans="1:11" ht="27.6" x14ac:dyDescent="0.3">
      <c r="A42" s="143"/>
      <c r="B42" s="140"/>
      <c r="C42" s="144"/>
      <c r="D42" s="127"/>
      <c r="E42" s="125"/>
      <c r="F42" s="19" t="s">
        <v>33</v>
      </c>
      <c r="G42" s="17" t="s">
        <v>177</v>
      </c>
      <c r="H42" s="72">
        <v>56843352763</v>
      </c>
      <c r="I42" s="30" t="s">
        <v>177</v>
      </c>
      <c r="J42" s="30" t="s">
        <v>177</v>
      </c>
      <c r="K42" s="148"/>
    </row>
    <row r="43" spans="1:11" ht="27.6" x14ac:dyDescent="0.3">
      <c r="A43" s="143"/>
      <c r="B43" s="140"/>
      <c r="C43" s="144"/>
      <c r="D43" s="127"/>
      <c r="E43" s="125"/>
      <c r="F43" s="19" t="s">
        <v>34</v>
      </c>
      <c r="G43" s="17" t="s">
        <v>177</v>
      </c>
      <c r="H43" s="24">
        <v>7689748572</v>
      </c>
      <c r="I43" s="30" t="s">
        <v>177</v>
      </c>
      <c r="J43" s="30" t="s">
        <v>177</v>
      </c>
      <c r="K43" s="148"/>
    </row>
    <row r="44" spans="1:11" x14ac:dyDescent="0.3">
      <c r="A44" s="143"/>
      <c r="B44" s="140"/>
      <c r="C44" s="144"/>
      <c r="D44" s="127"/>
      <c r="E44" s="125"/>
      <c r="F44" s="20" t="s">
        <v>14</v>
      </c>
      <c r="G44" s="17" t="s">
        <v>177</v>
      </c>
      <c r="H44" s="24">
        <v>905167436</v>
      </c>
      <c r="I44" s="30" t="s">
        <v>177</v>
      </c>
      <c r="J44" s="30" t="s">
        <v>177</v>
      </c>
      <c r="K44" s="148"/>
    </row>
    <row r="45" spans="1:11" x14ac:dyDescent="0.3">
      <c r="A45" s="39">
        <v>4</v>
      </c>
      <c r="B45" s="15">
        <v>42850</v>
      </c>
      <c r="C45" s="16">
        <v>41137</v>
      </c>
      <c r="D45" s="17">
        <v>2820</v>
      </c>
      <c r="E45" s="30" t="s">
        <v>15</v>
      </c>
      <c r="F45" s="20" t="s">
        <v>7</v>
      </c>
      <c r="G45" s="20" t="s">
        <v>12</v>
      </c>
      <c r="H45" s="72">
        <v>4315346877</v>
      </c>
      <c r="I45" s="30" t="s">
        <v>177</v>
      </c>
      <c r="J45" s="30" t="s">
        <v>177</v>
      </c>
      <c r="K45" s="21">
        <v>4315346877</v>
      </c>
    </row>
    <row r="46" spans="1:11" x14ac:dyDescent="0.3">
      <c r="A46" s="39">
        <v>4</v>
      </c>
      <c r="B46" s="15">
        <v>42850</v>
      </c>
      <c r="C46" s="16">
        <v>41137</v>
      </c>
      <c r="D46" s="17">
        <v>2821</v>
      </c>
      <c r="E46" s="30" t="s">
        <v>15</v>
      </c>
      <c r="F46" s="20" t="s">
        <v>7</v>
      </c>
      <c r="G46" s="20" t="s">
        <v>12</v>
      </c>
      <c r="H46" s="72">
        <v>13003930000</v>
      </c>
      <c r="I46" s="30" t="s">
        <v>177</v>
      </c>
      <c r="J46" s="30" t="s">
        <v>177</v>
      </c>
      <c r="K46" s="21">
        <v>13003930000</v>
      </c>
    </row>
    <row r="47" spans="1:11" ht="27.6" x14ac:dyDescent="0.3">
      <c r="A47" s="39">
        <v>4</v>
      </c>
      <c r="B47" s="15">
        <v>42850</v>
      </c>
      <c r="C47" s="16">
        <v>41137</v>
      </c>
      <c r="D47" s="17">
        <v>2822</v>
      </c>
      <c r="E47" s="30" t="s">
        <v>15</v>
      </c>
      <c r="F47" s="20" t="s">
        <v>27</v>
      </c>
      <c r="G47" s="20" t="s">
        <v>35</v>
      </c>
      <c r="H47" s="72">
        <v>90441672742</v>
      </c>
      <c r="I47" s="30" t="s">
        <v>177</v>
      </c>
      <c r="J47" s="30" t="s">
        <v>177</v>
      </c>
      <c r="K47" s="21">
        <v>90441672742</v>
      </c>
    </row>
    <row r="48" spans="1:11" ht="27.6" x14ac:dyDescent="0.3">
      <c r="A48" s="39">
        <v>5</v>
      </c>
      <c r="B48" s="15">
        <v>42857</v>
      </c>
      <c r="C48" s="16">
        <v>41141</v>
      </c>
      <c r="D48" s="17">
        <v>2841</v>
      </c>
      <c r="E48" s="30" t="s">
        <v>15</v>
      </c>
      <c r="F48" s="20" t="s">
        <v>27</v>
      </c>
      <c r="G48" s="20" t="s">
        <v>35</v>
      </c>
      <c r="H48" s="17">
        <v>202213113538</v>
      </c>
      <c r="I48" s="30" t="s">
        <v>177</v>
      </c>
      <c r="J48" s="30" t="s">
        <v>177</v>
      </c>
      <c r="K48" s="17">
        <v>202213113538</v>
      </c>
    </row>
    <row r="49" spans="1:11" x14ac:dyDescent="0.3">
      <c r="A49" s="143">
        <v>5</v>
      </c>
      <c r="B49" s="140">
        <v>42871</v>
      </c>
      <c r="C49" s="144">
        <v>6299</v>
      </c>
      <c r="D49" s="127">
        <v>2867</v>
      </c>
      <c r="E49" s="125" t="s">
        <v>15</v>
      </c>
      <c r="F49" s="20" t="s">
        <v>36</v>
      </c>
      <c r="G49" s="30" t="s">
        <v>177</v>
      </c>
      <c r="H49" s="24">
        <v>211688714</v>
      </c>
      <c r="I49" s="78">
        <v>209617578</v>
      </c>
      <c r="J49" s="141">
        <v>1381682959929</v>
      </c>
      <c r="K49" s="149">
        <f>SUM(H49:H81)</f>
        <v>1018627140065</v>
      </c>
    </row>
    <row r="50" spans="1:11" x14ac:dyDescent="0.3">
      <c r="A50" s="143"/>
      <c r="B50" s="140"/>
      <c r="C50" s="144"/>
      <c r="D50" s="127"/>
      <c r="E50" s="125"/>
      <c r="F50" s="20" t="s">
        <v>37</v>
      </c>
      <c r="G50" s="30" t="s">
        <v>177</v>
      </c>
      <c r="H50" s="24">
        <v>25323383823</v>
      </c>
      <c r="I50" s="72">
        <v>2834899391</v>
      </c>
      <c r="J50" s="141">
        <v>1381682959929</v>
      </c>
      <c r="K50" s="149"/>
    </row>
    <row r="51" spans="1:11" x14ac:dyDescent="0.3">
      <c r="A51" s="143"/>
      <c r="B51" s="140"/>
      <c r="C51" s="144"/>
      <c r="D51" s="127"/>
      <c r="E51" s="125"/>
      <c r="F51" s="20" t="s">
        <v>24</v>
      </c>
      <c r="G51" s="30" t="s">
        <v>177</v>
      </c>
      <c r="H51" s="24">
        <v>95828868438</v>
      </c>
      <c r="I51" s="78">
        <v>50667291726</v>
      </c>
      <c r="J51" s="141">
        <v>1381682959929</v>
      </c>
      <c r="K51" s="149"/>
    </row>
    <row r="52" spans="1:11" ht="18" customHeight="1" x14ac:dyDescent="0.3">
      <c r="A52" s="143"/>
      <c r="B52" s="140"/>
      <c r="C52" s="144"/>
      <c r="D52" s="127"/>
      <c r="E52" s="125"/>
      <c r="F52" s="20" t="s">
        <v>25</v>
      </c>
      <c r="G52" s="30" t="s">
        <v>177</v>
      </c>
      <c r="H52" s="24">
        <v>218680639155</v>
      </c>
      <c r="I52" s="78">
        <v>173840688570</v>
      </c>
      <c r="J52" s="141">
        <v>1381682959929</v>
      </c>
      <c r="K52" s="149"/>
    </row>
    <row r="53" spans="1:11" ht="27.6" x14ac:dyDescent="0.3">
      <c r="A53" s="143"/>
      <c r="B53" s="140"/>
      <c r="C53" s="144"/>
      <c r="D53" s="127"/>
      <c r="E53" s="125"/>
      <c r="F53" s="19" t="s">
        <v>38</v>
      </c>
      <c r="G53" s="30" t="s">
        <v>177</v>
      </c>
      <c r="H53" s="24">
        <v>74262898858</v>
      </c>
      <c r="I53" s="78">
        <v>2156046581</v>
      </c>
      <c r="J53" s="141">
        <v>1381682959929</v>
      </c>
      <c r="K53" s="149"/>
    </row>
    <row r="54" spans="1:11" x14ac:dyDescent="0.3">
      <c r="A54" s="143"/>
      <c r="B54" s="140"/>
      <c r="C54" s="144"/>
      <c r="D54" s="127"/>
      <c r="E54" s="125"/>
      <c r="F54" s="20" t="s">
        <v>39</v>
      </c>
      <c r="G54" s="30" t="s">
        <v>177</v>
      </c>
      <c r="H54" s="24">
        <v>9380783196</v>
      </c>
      <c r="I54" s="78">
        <v>8743403828</v>
      </c>
      <c r="J54" s="141">
        <v>1381682959929</v>
      </c>
      <c r="K54" s="149"/>
    </row>
    <row r="55" spans="1:11" x14ac:dyDescent="0.3">
      <c r="A55" s="143"/>
      <c r="B55" s="140"/>
      <c r="C55" s="144"/>
      <c r="D55" s="127"/>
      <c r="E55" s="125"/>
      <c r="F55" s="20" t="s">
        <v>40</v>
      </c>
      <c r="G55" s="30" t="s">
        <v>177</v>
      </c>
      <c r="H55" s="24">
        <v>2058755520</v>
      </c>
      <c r="I55" s="17"/>
      <c r="J55" s="141">
        <v>1381682959929</v>
      </c>
      <c r="K55" s="149"/>
    </row>
    <row r="56" spans="1:11" x14ac:dyDescent="0.3">
      <c r="A56" s="143"/>
      <c r="B56" s="140"/>
      <c r="C56" s="144"/>
      <c r="D56" s="127"/>
      <c r="E56" s="125"/>
      <c r="F56" s="19" t="s">
        <v>26</v>
      </c>
      <c r="G56" s="30" t="s">
        <v>177</v>
      </c>
      <c r="H56" s="24">
        <v>330858045</v>
      </c>
      <c r="I56" s="78">
        <v>275450156</v>
      </c>
      <c r="J56" s="141">
        <v>1381682959929</v>
      </c>
      <c r="K56" s="149"/>
    </row>
    <row r="57" spans="1:11" ht="27.6" x14ac:dyDescent="0.3">
      <c r="A57" s="143"/>
      <c r="B57" s="140"/>
      <c r="C57" s="144"/>
      <c r="D57" s="127"/>
      <c r="E57" s="125"/>
      <c r="F57" s="19" t="s">
        <v>41</v>
      </c>
      <c r="G57" s="30" t="s">
        <v>177</v>
      </c>
      <c r="H57" s="24">
        <v>47797217621</v>
      </c>
      <c r="I57" s="78">
        <v>12855184823</v>
      </c>
      <c r="J57" s="141">
        <v>1381682959929</v>
      </c>
      <c r="K57" s="149"/>
    </row>
    <row r="58" spans="1:11" x14ac:dyDescent="0.3">
      <c r="A58" s="143"/>
      <c r="B58" s="140"/>
      <c r="C58" s="144"/>
      <c r="D58" s="127"/>
      <c r="E58" s="125"/>
      <c r="F58" s="19" t="s">
        <v>42</v>
      </c>
      <c r="G58" s="30" t="s">
        <v>177</v>
      </c>
      <c r="H58" s="24">
        <v>330219023</v>
      </c>
      <c r="I58" s="78">
        <v>307145269</v>
      </c>
      <c r="J58" s="141">
        <v>1381682959929</v>
      </c>
      <c r="K58" s="149"/>
    </row>
    <row r="59" spans="1:11" x14ac:dyDescent="0.3">
      <c r="A59" s="143"/>
      <c r="B59" s="140"/>
      <c r="C59" s="144"/>
      <c r="D59" s="127"/>
      <c r="E59" s="125"/>
      <c r="F59" s="19" t="s">
        <v>28</v>
      </c>
      <c r="G59" s="30" t="s">
        <v>177</v>
      </c>
      <c r="H59" s="24">
        <v>5021111705</v>
      </c>
      <c r="I59" s="78">
        <v>4338725725</v>
      </c>
      <c r="J59" s="141">
        <v>1381682959929</v>
      </c>
      <c r="K59" s="149"/>
    </row>
    <row r="60" spans="1:11" ht="27.6" x14ac:dyDescent="0.3">
      <c r="A60" s="143"/>
      <c r="B60" s="140"/>
      <c r="C60" s="144"/>
      <c r="D60" s="127"/>
      <c r="E60" s="125"/>
      <c r="F60" s="19" t="s">
        <v>634</v>
      </c>
      <c r="G60" s="30" t="s">
        <v>177</v>
      </c>
      <c r="H60" s="24">
        <v>873966948</v>
      </c>
      <c r="I60" s="17"/>
      <c r="J60" s="141">
        <v>1381682959929</v>
      </c>
      <c r="K60" s="149"/>
    </row>
    <row r="61" spans="1:11" ht="30" customHeight="1" x14ac:dyDescent="0.3">
      <c r="A61" s="143"/>
      <c r="B61" s="140"/>
      <c r="C61" s="144"/>
      <c r="D61" s="127"/>
      <c r="E61" s="125"/>
      <c r="F61" s="19" t="s">
        <v>168</v>
      </c>
      <c r="G61" s="30" t="s">
        <v>177</v>
      </c>
      <c r="H61" s="34">
        <v>2269504007</v>
      </c>
      <c r="I61" s="78">
        <v>469014692</v>
      </c>
      <c r="J61" s="141">
        <v>1381682959929</v>
      </c>
      <c r="K61" s="149"/>
    </row>
    <row r="62" spans="1:11" s="70" customFormat="1" ht="27.6" x14ac:dyDescent="0.3">
      <c r="A62" s="143"/>
      <c r="B62" s="140"/>
      <c r="C62" s="144"/>
      <c r="D62" s="127"/>
      <c r="E62" s="125"/>
      <c r="F62" s="77" t="s">
        <v>21</v>
      </c>
      <c r="G62" s="30" t="s">
        <v>177</v>
      </c>
      <c r="H62" s="34">
        <v>2647222491</v>
      </c>
      <c r="I62" s="78">
        <v>123695543</v>
      </c>
      <c r="J62" s="141">
        <v>1381682959929</v>
      </c>
      <c r="K62" s="149"/>
    </row>
    <row r="63" spans="1:11" x14ac:dyDescent="0.3">
      <c r="A63" s="143"/>
      <c r="B63" s="140"/>
      <c r="C63" s="144"/>
      <c r="D63" s="127"/>
      <c r="E63" s="125"/>
      <c r="F63" s="19" t="s">
        <v>44</v>
      </c>
      <c r="G63" s="30" t="s">
        <v>177</v>
      </c>
      <c r="H63" s="34">
        <v>99031687</v>
      </c>
      <c r="I63" s="78">
        <v>91691381</v>
      </c>
      <c r="J63" s="141">
        <v>1381682959929</v>
      </c>
      <c r="K63" s="149"/>
    </row>
    <row r="64" spans="1:11" x14ac:dyDescent="0.3">
      <c r="A64" s="143"/>
      <c r="B64" s="140"/>
      <c r="C64" s="144"/>
      <c r="D64" s="127"/>
      <c r="E64" s="125"/>
      <c r="F64" s="19" t="s">
        <v>164</v>
      </c>
      <c r="G64" s="30" t="s">
        <v>177</v>
      </c>
      <c r="H64" s="34">
        <v>77105098</v>
      </c>
      <c r="I64" s="17"/>
      <c r="J64" s="141">
        <v>1381682959929</v>
      </c>
      <c r="K64" s="149"/>
    </row>
    <row r="65" spans="1:11" x14ac:dyDescent="0.3">
      <c r="A65" s="143"/>
      <c r="B65" s="140"/>
      <c r="C65" s="144"/>
      <c r="D65" s="127"/>
      <c r="E65" s="125"/>
      <c r="F65" s="19" t="s">
        <v>46</v>
      </c>
      <c r="G65" s="30" t="s">
        <v>177</v>
      </c>
      <c r="H65" s="34">
        <v>2658237406</v>
      </c>
      <c r="I65" s="78">
        <v>130949039</v>
      </c>
      <c r="J65" s="141">
        <v>1381682959929</v>
      </c>
      <c r="K65" s="149"/>
    </row>
    <row r="66" spans="1:11" x14ac:dyDescent="0.3">
      <c r="A66" s="143"/>
      <c r="B66" s="140"/>
      <c r="C66" s="144"/>
      <c r="D66" s="127"/>
      <c r="E66" s="125"/>
      <c r="F66" s="19" t="s">
        <v>29</v>
      </c>
      <c r="G66" s="30" t="s">
        <v>177</v>
      </c>
      <c r="H66" s="34">
        <v>267958741580</v>
      </c>
      <c r="I66" s="78">
        <v>83524779808</v>
      </c>
      <c r="J66" s="141">
        <v>1381682959929</v>
      </c>
      <c r="K66" s="149"/>
    </row>
    <row r="67" spans="1:11" ht="27.6" x14ac:dyDescent="0.3">
      <c r="A67" s="143"/>
      <c r="B67" s="140"/>
      <c r="C67" s="144"/>
      <c r="D67" s="127"/>
      <c r="E67" s="125"/>
      <c r="F67" s="19" t="s">
        <v>166</v>
      </c>
      <c r="G67" s="30" t="s">
        <v>177</v>
      </c>
      <c r="H67" s="34">
        <v>6386515430</v>
      </c>
      <c r="I67" s="78">
        <v>1432416254</v>
      </c>
      <c r="J67" s="141">
        <v>1381682959929</v>
      </c>
      <c r="K67" s="149"/>
    </row>
    <row r="68" spans="1:11" x14ac:dyDescent="0.3">
      <c r="A68" s="143"/>
      <c r="B68" s="140"/>
      <c r="C68" s="144"/>
      <c r="D68" s="127"/>
      <c r="E68" s="125"/>
      <c r="F68" s="19" t="s">
        <v>106</v>
      </c>
      <c r="G68" s="30" t="s">
        <v>177</v>
      </c>
      <c r="H68" s="34">
        <v>21718593767</v>
      </c>
      <c r="I68" s="17"/>
      <c r="J68" s="141">
        <v>1381682959929</v>
      </c>
      <c r="K68" s="149"/>
    </row>
    <row r="69" spans="1:11" x14ac:dyDescent="0.3">
      <c r="A69" s="143"/>
      <c r="B69" s="140"/>
      <c r="C69" s="144"/>
      <c r="D69" s="127"/>
      <c r="E69" s="125"/>
      <c r="F69" s="19" t="s">
        <v>7</v>
      </c>
      <c r="G69" s="30" t="s">
        <v>177</v>
      </c>
      <c r="H69" s="34">
        <v>176313175</v>
      </c>
      <c r="I69" s="78">
        <v>3344341</v>
      </c>
      <c r="J69" s="141">
        <v>1381682959929</v>
      </c>
      <c r="K69" s="149"/>
    </row>
    <row r="70" spans="1:11" ht="27.6" x14ac:dyDescent="0.3">
      <c r="A70" s="143"/>
      <c r="B70" s="140"/>
      <c r="C70" s="144"/>
      <c r="D70" s="127"/>
      <c r="E70" s="125"/>
      <c r="F70" s="19" t="s">
        <v>31</v>
      </c>
      <c r="G70" s="30" t="s">
        <v>177</v>
      </c>
      <c r="H70" s="34">
        <v>15046987250</v>
      </c>
      <c r="I70" s="78">
        <v>7810080320</v>
      </c>
      <c r="J70" s="141">
        <v>1381682959929</v>
      </c>
      <c r="K70" s="149"/>
    </row>
    <row r="71" spans="1:11" x14ac:dyDescent="0.3">
      <c r="A71" s="143"/>
      <c r="B71" s="140"/>
      <c r="C71" s="144"/>
      <c r="D71" s="127"/>
      <c r="E71" s="125"/>
      <c r="F71" s="19" t="s">
        <v>48</v>
      </c>
      <c r="G71" s="30" t="s">
        <v>177</v>
      </c>
      <c r="H71" s="34">
        <v>2245089516</v>
      </c>
      <c r="I71" s="78">
        <v>1872304050</v>
      </c>
      <c r="J71" s="141">
        <v>1381682959929</v>
      </c>
      <c r="K71" s="149"/>
    </row>
    <row r="72" spans="1:11" ht="27.6" x14ac:dyDescent="0.3">
      <c r="A72" s="143"/>
      <c r="B72" s="140"/>
      <c r="C72" s="144"/>
      <c r="D72" s="127"/>
      <c r="E72" s="125"/>
      <c r="F72" s="19" t="s">
        <v>32</v>
      </c>
      <c r="G72" s="30" t="s">
        <v>177</v>
      </c>
      <c r="H72" s="34">
        <v>38176008495</v>
      </c>
      <c r="I72" s="78">
        <v>4098578435</v>
      </c>
      <c r="J72" s="141">
        <v>1381682959929</v>
      </c>
      <c r="K72" s="149"/>
    </row>
    <row r="73" spans="1:11" x14ac:dyDescent="0.3">
      <c r="A73" s="143"/>
      <c r="B73" s="140"/>
      <c r="C73" s="144"/>
      <c r="D73" s="127"/>
      <c r="E73" s="125"/>
      <c r="F73" s="19" t="s">
        <v>50</v>
      </c>
      <c r="G73" s="30" t="s">
        <v>177</v>
      </c>
      <c r="H73" s="34">
        <v>1983060961</v>
      </c>
      <c r="I73" s="78">
        <v>47556721</v>
      </c>
      <c r="J73" s="141">
        <v>1381682959929</v>
      </c>
      <c r="K73" s="149"/>
    </row>
    <row r="74" spans="1:11" ht="27.6" x14ac:dyDescent="0.3">
      <c r="A74" s="143"/>
      <c r="B74" s="140"/>
      <c r="C74" s="144"/>
      <c r="D74" s="127"/>
      <c r="E74" s="125"/>
      <c r="F74" s="19" t="s">
        <v>51</v>
      </c>
      <c r="G74" s="30" t="s">
        <v>177</v>
      </c>
      <c r="H74" s="32">
        <v>146677190155</v>
      </c>
      <c r="I74" s="17"/>
      <c r="J74" s="141">
        <v>1381682959929</v>
      </c>
      <c r="K74" s="149"/>
    </row>
    <row r="75" spans="1:11" ht="27.6" x14ac:dyDescent="0.3">
      <c r="A75" s="143"/>
      <c r="B75" s="140"/>
      <c r="C75" s="144"/>
      <c r="D75" s="127"/>
      <c r="E75" s="125"/>
      <c r="F75" s="19" t="s">
        <v>108</v>
      </c>
      <c r="G75" s="30" t="s">
        <v>177</v>
      </c>
      <c r="H75" s="34">
        <v>2537610650</v>
      </c>
      <c r="I75" s="78">
        <v>984687975</v>
      </c>
      <c r="J75" s="141">
        <v>1381682959929</v>
      </c>
      <c r="K75" s="149"/>
    </row>
    <row r="76" spans="1:11" ht="27.6" x14ac:dyDescent="0.3">
      <c r="A76" s="143"/>
      <c r="B76" s="140"/>
      <c r="C76" s="144"/>
      <c r="D76" s="127"/>
      <c r="E76" s="125"/>
      <c r="F76" s="19" t="s">
        <v>52</v>
      </c>
      <c r="G76" s="30" t="s">
        <v>177</v>
      </c>
      <c r="H76" s="34">
        <v>289145085</v>
      </c>
      <c r="I76" s="17"/>
      <c r="J76" s="141">
        <v>1381682959929</v>
      </c>
      <c r="K76" s="149"/>
    </row>
    <row r="77" spans="1:11" x14ac:dyDescent="0.3">
      <c r="A77" s="143"/>
      <c r="B77" s="140"/>
      <c r="C77" s="144"/>
      <c r="D77" s="127"/>
      <c r="E77" s="125"/>
      <c r="F77" s="19" t="s">
        <v>53</v>
      </c>
      <c r="G77" s="30" t="s">
        <v>177</v>
      </c>
      <c r="H77" s="34">
        <v>557485054</v>
      </c>
      <c r="I77" s="78">
        <v>39544792</v>
      </c>
      <c r="J77" s="141">
        <v>1381682959929</v>
      </c>
      <c r="K77" s="149"/>
    </row>
    <row r="78" spans="1:11" ht="27.6" x14ac:dyDescent="0.3">
      <c r="A78" s="143"/>
      <c r="B78" s="140"/>
      <c r="C78" s="144"/>
      <c r="D78" s="127"/>
      <c r="E78" s="125"/>
      <c r="F78" s="19" t="s">
        <v>55</v>
      </c>
      <c r="G78" s="30" t="s">
        <v>177</v>
      </c>
      <c r="H78" s="34">
        <v>11274657892</v>
      </c>
      <c r="I78" s="78">
        <v>59508945</v>
      </c>
      <c r="J78" s="141">
        <v>1381682959929</v>
      </c>
      <c r="K78" s="149"/>
    </row>
    <row r="79" spans="1:11" ht="27.6" x14ac:dyDescent="0.3">
      <c r="A79" s="143"/>
      <c r="B79" s="140"/>
      <c r="C79" s="144"/>
      <c r="D79" s="127"/>
      <c r="E79" s="125"/>
      <c r="F79" s="19" t="s">
        <v>34</v>
      </c>
      <c r="G79" s="30" t="s">
        <v>177</v>
      </c>
      <c r="H79" s="34">
        <v>5578453769</v>
      </c>
      <c r="I79" s="78">
        <v>72884579</v>
      </c>
      <c r="J79" s="141">
        <v>1381682959929</v>
      </c>
      <c r="K79" s="149"/>
    </row>
    <row r="80" spans="1:11" x14ac:dyDescent="0.3">
      <c r="A80" s="143"/>
      <c r="B80" s="140"/>
      <c r="C80" s="144"/>
      <c r="D80" s="127"/>
      <c r="E80" s="125"/>
      <c r="F80" s="19" t="s">
        <v>56</v>
      </c>
      <c r="G80" s="30" t="s">
        <v>177</v>
      </c>
      <c r="H80" s="34">
        <v>6884836554</v>
      </c>
      <c r="I80" s="78">
        <v>3047002698</v>
      </c>
      <c r="J80" s="141">
        <v>1381682959929</v>
      </c>
      <c r="K80" s="149"/>
    </row>
    <row r="81" spans="1:11" x14ac:dyDescent="0.3">
      <c r="A81" s="143"/>
      <c r="B81" s="140"/>
      <c r="C81" s="144"/>
      <c r="D81" s="127"/>
      <c r="E81" s="125"/>
      <c r="F81" s="19" t="s">
        <v>57</v>
      </c>
      <c r="G81" s="30" t="s">
        <v>177</v>
      </c>
      <c r="H81" s="34">
        <v>3284958997</v>
      </c>
      <c r="I81" s="29">
        <v>3019326644</v>
      </c>
      <c r="J81" s="141">
        <v>1381682959929</v>
      </c>
      <c r="K81" s="149"/>
    </row>
    <row r="82" spans="1:11" ht="27.6" x14ac:dyDescent="0.3">
      <c r="A82" s="39">
        <v>5</v>
      </c>
      <c r="B82" s="15">
        <v>42871</v>
      </c>
      <c r="C82" s="16">
        <v>41151</v>
      </c>
      <c r="D82" s="17">
        <v>2854</v>
      </c>
      <c r="E82" s="30" t="s">
        <v>15</v>
      </c>
      <c r="F82" s="19" t="s">
        <v>58</v>
      </c>
      <c r="G82" s="20" t="s">
        <v>13</v>
      </c>
      <c r="H82" s="17">
        <v>3796875000</v>
      </c>
      <c r="I82" s="30" t="s">
        <v>177</v>
      </c>
      <c r="J82" s="30" t="s">
        <v>177</v>
      </c>
      <c r="K82" s="17">
        <v>3796875000</v>
      </c>
    </row>
    <row r="83" spans="1:11" ht="27.6" x14ac:dyDescent="0.3">
      <c r="A83" s="39">
        <v>5</v>
      </c>
      <c r="B83" s="15">
        <v>42871</v>
      </c>
      <c r="C83" s="16">
        <v>41151</v>
      </c>
      <c r="D83" s="17">
        <v>2855</v>
      </c>
      <c r="E83" s="30" t="s">
        <v>15</v>
      </c>
      <c r="F83" s="19" t="s">
        <v>58</v>
      </c>
      <c r="G83" s="20" t="s">
        <v>13</v>
      </c>
      <c r="H83" s="17">
        <v>3400000000</v>
      </c>
      <c r="I83" s="30" t="s">
        <v>177</v>
      </c>
      <c r="J83" s="30" t="s">
        <v>177</v>
      </c>
      <c r="K83" s="17">
        <v>3400000000</v>
      </c>
    </row>
    <row r="84" spans="1:11" x14ac:dyDescent="0.3">
      <c r="A84" s="39">
        <v>5</v>
      </c>
      <c r="B84" s="15">
        <v>42871</v>
      </c>
      <c r="C84" s="16">
        <v>41151</v>
      </c>
      <c r="D84" s="17">
        <v>2856</v>
      </c>
      <c r="E84" s="30" t="s">
        <v>15</v>
      </c>
      <c r="F84" s="19" t="s">
        <v>7</v>
      </c>
      <c r="G84" s="20" t="s">
        <v>12</v>
      </c>
      <c r="H84" s="17">
        <v>10750170060</v>
      </c>
      <c r="I84" s="30" t="s">
        <v>177</v>
      </c>
      <c r="J84" s="30" t="s">
        <v>177</v>
      </c>
      <c r="K84" s="17">
        <v>10750170060</v>
      </c>
    </row>
    <row r="85" spans="1:11" x14ac:dyDescent="0.3">
      <c r="A85" s="39">
        <v>5</v>
      </c>
      <c r="B85" s="15">
        <v>42871</v>
      </c>
      <c r="C85" s="16">
        <v>41151</v>
      </c>
      <c r="D85" s="17">
        <v>2857</v>
      </c>
      <c r="E85" s="30" t="s">
        <v>15</v>
      </c>
      <c r="F85" s="19" t="s">
        <v>7</v>
      </c>
      <c r="G85" s="20" t="s">
        <v>12</v>
      </c>
      <c r="H85" s="17">
        <v>8547933660</v>
      </c>
      <c r="I85" s="30" t="s">
        <v>177</v>
      </c>
      <c r="J85" s="30" t="s">
        <v>177</v>
      </c>
      <c r="K85" s="17">
        <v>8547933660</v>
      </c>
    </row>
    <row r="86" spans="1:11" x14ac:dyDescent="0.3">
      <c r="A86" s="39">
        <v>5</v>
      </c>
      <c r="B86" s="15">
        <v>42871</v>
      </c>
      <c r="C86" s="16">
        <v>41151</v>
      </c>
      <c r="D86" s="17">
        <v>2858</v>
      </c>
      <c r="E86" s="30" t="s">
        <v>15</v>
      </c>
      <c r="F86" s="19" t="s">
        <v>7</v>
      </c>
      <c r="G86" s="20" t="s">
        <v>12</v>
      </c>
      <c r="H86" s="17">
        <v>4285000000</v>
      </c>
      <c r="I86" s="30" t="s">
        <v>177</v>
      </c>
      <c r="J86" s="30" t="s">
        <v>177</v>
      </c>
      <c r="K86" s="17">
        <v>4285000000</v>
      </c>
    </row>
    <row r="87" spans="1:11" x14ac:dyDescent="0.3">
      <c r="A87" s="39">
        <v>5</v>
      </c>
      <c r="B87" s="15">
        <v>42871</v>
      </c>
      <c r="C87" s="16">
        <v>41151</v>
      </c>
      <c r="D87" s="17">
        <v>2859</v>
      </c>
      <c r="E87" s="30" t="s">
        <v>15</v>
      </c>
      <c r="F87" s="19" t="s">
        <v>7</v>
      </c>
      <c r="G87" s="20" t="s">
        <v>12</v>
      </c>
      <c r="H87" s="17">
        <v>1426259350</v>
      </c>
      <c r="I87" s="30" t="s">
        <v>177</v>
      </c>
      <c r="J87" s="30" t="s">
        <v>177</v>
      </c>
      <c r="K87" s="17">
        <v>1426259350</v>
      </c>
    </row>
    <row r="88" spans="1:11" x14ac:dyDescent="0.3">
      <c r="A88" s="39">
        <v>5</v>
      </c>
      <c r="B88" s="15">
        <v>42871</v>
      </c>
      <c r="C88" s="16">
        <v>41151</v>
      </c>
      <c r="D88" s="17">
        <v>2860</v>
      </c>
      <c r="E88" s="30" t="s">
        <v>15</v>
      </c>
      <c r="F88" s="19" t="s">
        <v>7</v>
      </c>
      <c r="G88" s="20" t="s">
        <v>12</v>
      </c>
      <c r="H88" s="17">
        <v>1200000000</v>
      </c>
      <c r="I88" s="30" t="s">
        <v>177</v>
      </c>
      <c r="J88" s="30" t="s">
        <v>177</v>
      </c>
      <c r="K88" s="17">
        <v>1200000000</v>
      </c>
    </row>
    <row r="89" spans="1:11" ht="27.6" x14ac:dyDescent="0.3">
      <c r="A89" s="125">
        <v>5</v>
      </c>
      <c r="B89" s="140">
        <v>42871</v>
      </c>
      <c r="C89" s="127">
        <v>41151</v>
      </c>
      <c r="D89" s="127">
        <v>2861</v>
      </c>
      <c r="E89" s="127" t="s">
        <v>15</v>
      </c>
      <c r="F89" s="126" t="s">
        <v>14</v>
      </c>
      <c r="G89" s="22" t="s">
        <v>69</v>
      </c>
      <c r="H89" s="17">
        <v>154956565</v>
      </c>
      <c r="I89" s="128" t="s">
        <v>177</v>
      </c>
      <c r="J89" s="127">
        <f>K89-4284914912</f>
        <v>21532242</v>
      </c>
      <c r="K89" s="127">
        <v>4306447154</v>
      </c>
    </row>
    <row r="90" spans="1:11" ht="27.6" x14ac:dyDescent="0.3">
      <c r="A90" s="125"/>
      <c r="B90" s="125"/>
      <c r="C90" s="127"/>
      <c r="D90" s="127"/>
      <c r="E90" s="127"/>
      <c r="F90" s="126"/>
      <c r="G90" s="22" t="s">
        <v>68</v>
      </c>
      <c r="H90" s="17">
        <v>108293860</v>
      </c>
      <c r="I90" s="129"/>
      <c r="J90" s="127">
        <v>4284914912</v>
      </c>
      <c r="K90" s="127"/>
    </row>
    <row r="91" spans="1:11" x14ac:dyDescent="0.3">
      <c r="A91" s="125"/>
      <c r="B91" s="125"/>
      <c r="C91" s="127"/>
      <c r="D91" s="127"/>
      <c r="E91" s="127"/>
      <c r="F91" s="126"/>
      <c r="G91" s="22" t="s">
        <v>70</v>
      </c>
      <c r="H91" s="17">
        <v>54090732</v>
      </c>
      <c r="I91" s="129"/>
      <c r="J91" s="127">
        <v>4284914912</v>
      </c>
      <c r="K91" s="127"/>
    </row>
    <row r="92" spans="1:11" x14ac:dyDescent="0.3">
      <c r="A92" s="125"/>
      <c r="B92" s="125"/>
      <c r="C92" s="127"/>
      <c r="D92" s="127"/>
      <c r="E92" s="127"/>
      <c r="F92" s="126"/>
      <c r="G92" s="22" t="s">
        <v>61</v>
      </c>
      <c r="H92" s="17">
        <v>146212884</v>
      </c>
      <c r="I92" s="129"/>
      <c r="J92" s="127">
        <v>4284914912</v>
      </c>
      <c r="K92" s="127"/>
    </row>
    <row r="93" spans="1:11" x14ac:dyDescent="0.3">
      <c r="A93" s="125"/>
      <c r="B93" s="125"/>
      <c r="C93" s="127"/>
      <c r="D93" s="127"/>
      <c r="E93" s="127"/>
      <c r="F93" s="126"/>
      <c r="G93" s="22" t="s">
        <v>66</v>
      </c>
      <c r="H93" s="17">
        <v>133277800</v>
      </c>
      <c r="I93" s="129"/>
      <c r="J93" s="127">
        <v>4284914912</v>
      </c>
      <c r="K93" s="127"/>
    </row>
    <row r="94" spans="1:11" x14ac:dyDescent="0.3">
      <c r="A94" s="125"/>
      <c r="B94" s="125"/>
      <c r="C94" s="127"/>
      <c r="D94" s="127"/>
      <c r="E94" s="127"/>
      <c r="F94" s="126"/>
      <c r="G94" s="22" t="s">
        <v>67</v>
      </c>
      <c r="H94" s="17">
        <v>13200529</v>
      </c>
      <c r="I94" s="129"/>
      <c r="J94" s="127">
        <v>4284914912</v>
      </c>
      <c r="K94" s="127"/>
    </row>
    <row r="95" spans="1:11" x14ac:dyDescent="0.3">
      <c r="A95" s="125"/>
      <c r="B95" s="125"/>
      <c r="C95" s="127"/>
      <c r="D95" s="127"/>
      <c r="E95" s="127"/>
      <c r="F95" s="126"/>
      <c r="G95" s="22" t="s">
        <v>65</v>
      </c>
      <c r="H95" s="17">
        <v>65258813</v>
      </c>
      <c r="I95" s="129"/>
      <c r="J95" s="127">
        <v>4284914912</v>
      </c>
      <c r="K95" s="127"/>
    </row>
    <row r="96" spans="1:11" x14ac:dyDescent="0.3">
      <c r="A96" s="125"/>
      <c r="B96" s="125"/>
      <c r="C96" s="127"/>
      <c r="D96" s="127"/>
      <c r="E96" s="127"/>
      <c r="F96" s="126"/>
      <c r="G96" s="22" t="s">
        <v>62</v>
      </c>
      <c r="H96" s="17">
        <v>1604211117</v>
      </c>
      <c r="I96" s="129"/>
      <c r="J96" s="127">
        <v>4284914912</v>
      </c>
      <c r="K96" s="127"/>
    </row>
    <row r="97" spans="1:11" x14ac:dyDescent="0.3">
      <c r="A97" s="125"/>
      <c r="B97" s="125"/>
      <c r="C97" s="127"/>
      <c r="D97" s="127"/>
      <c r="E97" s="127"/>
      <c r="F97" s="126"/>
      <c r="G97" s="38" t="s">
        <v>63</v>
      </c>
      <c r="H97" s="17">
        <v>36817044</v>
      </c>
      <c r="I97" s="129"/>
      <c r="J97" s="127">
        <v>4284914912</v>
      </c>
      <c r="K97" s="127"/>
    </row>
    <row r="98" spans="1:11" x14ac:dyDescent="0.3">
      <c r="A98" s="125"/>
      <c r="B98" s="125"/>
      <c r="C98" s="127"/>
      <c r="D98" s="127"/>
      <c r="E98" s="127"/>
      <c r="F98" s="126"/>
      <c r="G98" s="38" t="s">
        <v>64</v>
      </c>
      <c r="H98" s="17">
        <v>1565339569</v>
      </c>
      <c r="I98" s="129"/>
      <c r="J98" s="127">
        <v>4284914912</v>
      </c>
      <c r="K98" s="127"/>
    </row>
    <row r="99" spans="1:11" ht="27.6" x14ac:dyDescent="0.3">
      <c r="A99" s="125"/>
      <c r="B99" s="125"/>
      <c r="C99" s="127"/>
      <c r="D99" s="127"/>
      <c r="E99" s="127"/>
      <c r="F99" s="126"/>
      <c r="G99" s="38" t="s">
        <v>71</v>
      </c>
      <c r="H99" s="17">
        <v>403255999</v>
      </c>
      <c r="I99" s="130"/>
      <c r="J99" s="127">
        <v>4284914912</v>
      </c>
      <c r="K99" s="127"/>
    </row>
    <row r="100" spans="1:11" x14ac:dyDescent="0.3">
      <c r="A100" s="39">
        <v>5</v>
      </c>
      <c r="B100" s="15">
        <v>42871</v>
      </c>
      <c r="C100" s="16">
        <v>41151</v>
      </c>
      <c r="D100" s="17">
        <v>2862</v>
      </c>
      <c r="E100" s="30" t="s">
        <v>15</v>
      </c>
      <c r="F100" s="19" t="s">
        <v>14</v>
      </c>
      <c r="G100" s="22" t="s">
        <v>66</v>
      </c>
      <c r="H100" s="17">
        <v>187913029</v>
      </c>
      <c r="I100" s="30" t="s">
        <v>177</v>
      </c>
      <c r="J100" s="17">
        <f>K100-H100</f>
        <v>3904545719</v>
      </c>
      <c r="K100" s="17">
        <v>4092458748</v>
      </c>
    </row>
    <row r="101" spans="1:11" ht="27.6" x14ac:dyDescent="0.3">
      <c r="A101" s="39">
        <v>5</v>
      </c>
      <c r="B101" s="15">
        <v>42871</v>
      </c>
      <c r="C101" s="16">
        <v>41151</v>
      </c>
      <c r="D101" s="17">
        <v>2863</v>
      </c>
      <c r="E101" s="30" t="s">
        <v>15</v>
      </c>
      <c r="F101" s="19" t="s">
        <v>20</v>
      </c>
      <c r="G101" s="76" t="s">
        <v>575</v>
      </c>
      <c r="H101" s="28"/>
      <c r="I101" s="28"/>
      <c r="J101" s="28"/>
      <c r="K101" s="17">
        <v>90171200</v>
      </c>
    </row>
    <row r="102" spans="1:11" ht="30" customHeight="1" x14ac:dyDescent="0.3">
      <c r="A102" s="143">
        <v>5</v>
      </c>
      <c r="B102" s="140">
        <v>42871</v>
      </c>
      <c r="C102" s="144">
        <v>41151</v>
      </c>
      <c r="D102" s="127">
        <v>2865</v>
      </c>
      <c r="E102" s="125" t="s">
        <v>15</v>
      </c>
      <c r="F102" s="126" t="s">
        <v>59</v>
      </c>
      <c r="G102" s="22" t="s">
        <v>72</v>
      </c>
      <c r="H102" s="23">
        <v>1715924941</v>
      </c>
      <c r="I102" s="142">
        <v>11063779242</v>
      </c>
      <c r="J102" s="141">
        <f>K102-44772031825</f>
        <v>8768912245</v>
      </c>
      <c r="K102" s="127">
        <v>53540944070</v>
      </c>
    </row>
    <row r="103" spans="1:11" x14ac:dyDescent="0.3">
      <c r="A103" s="143"/>
      <c r="B103" s="140"/>
      <c r="C103" s="144"/>
      <c r="D103" s="127"/>
      <c r="E103" s="125"/>
      <c r="F103" s="126"/>
      <c r="G103" s="22" t="s">
        <v>73</v>
      </c>
      <c r="H103" s="29">
        <v>280558095</v>
      </c>
      <c r="I103" s="142"/>
      <c r="J103" s="141">
        <v>44772031825</v>
      </c>
      <c r="K103" s="127"/>
    </row>
    <row r="104" spans="1:11" ht="27.6" x14ac:dyDescent="0.3">
      <c r="A104" s="143"/>
      <c r="B104" s="140"/>
      <c r="C104" s="144"/>
      <c r="D104" s="127"/>
      <c r="E104" s="125"/>
      <c r="F104" s="126"/>
      <c r="G104" s="22" t="s">
        <v>75</v>
      </c>
      <c r="H104" s="29">
        <v>9513454</v>
      </c>
      <c r="I104" s="142"/>
      <c r="J104" s="141">
        <v>44772031825</v>
      </c>
      <c r="K104" s="127"/>
    </row>
    <row r="105" spans="1:11" x14ac:dyDescent="0.3">
      <c r="A105" s="143"/>
      <c r="B105" s="140"/>
      <c r="C105" s="144"/>
      <c r="D105" s="127"/>
      <c r="E105" s="125"/>
      <c r="F105" s="126"/>
      <c r="G105" s="41" t="s">
        <v>74</v>
      </c>
      <c r="H105" s="29">
        <v>3451726298</v>
      </c>
      <c r="I105" s="142"/>
      <c r="J105" s="141">
        <v>44772031825</v>
      </c>
      <c r="K105" s="127"/>
    </row>
    <row r="106" spans="1:11" x14ac:dyDescent="0.3">
      <c r="A106" s="143"/>
      <c r="B106" s="140"/>
      <c r="C106" s="144"/>
      <c r="D106" s="127"/>
      <c r="E106" s="125"/>
      <c r="F106" s="126"/>
      <c r="G106" s="38" t="s">
        <v>76</v>
      </c>
      <c r="H106" s="29">
        <v>1418062853</v>
      </c>
      <c r="I106" s="142"/>
      <c r="J106" s="141">
        <v>44772031825</v>
      </c>
      <c r="K106" s="127"/>
    </row>
    <row r="107" spans="1:11" x14ac:dyDescent="0.3">
      <c r="A107" s="143"/>
      <c r="B107" s="140"/>
      <c r="C107" s="144"/>
      <c r="D107" s="127"/>
      <c r="E107" s="125"/>
      <c r="F107" s="126"/>
      <c r="G107" s="38" t="s">
        <v>77</v>
      </c>
      <c r="H107" s="29">
        <v>17873327268</v>
      </c>
      <c r="I107" s="142"/>
      <c r="J107" s="141">
        <v>44772031825</v>
      </c>
      <c r="K107" s="127"/>
    </row>
    <row r="108" spans="1:11" x14ac:dyDescent="0.3">
      <c r="A108" s="143"/>
      <c r="B108" s="140"/>
      <c r="C108" s="144"/>
      <c r="D108" s="127"/>
      <c r="E108" s="125"/>
      <c r="F108" s="126"/>
      <c r="G108" s="38" t="s">
        <v>78</v>
      </c>
      <c r="H108" s="29">
        <v>1911866852</v>
      </c>
      <c r="I108" s="142"/>
      <c r="J108" s="141">
        <v>44772031825</v>
      </c>
      <c r="K108" s="127"/>
    </row>
    <row r="109" spans="1:11" x14ac:dyDescent="0.3">
      <c r="A109" s="143"/>
      <c r="B109" s="140"/>
      <c r="C109" s="144"/>
      <c r="D109" s="127"/>
      <c r="E109" s="125"/>
      <c r="F109" s="126"/>
      <c r="G109" s="38" t="s">
        <v>79</v>
      </c>
      <c r="H109" s="29">
        <v>1439298057</v>
      </c>
      <c r="I109" s="142"/>
      <c r="J109" s="141">
        <v>44772031825</v>
      </c>
      <c r="K109" s="127"/>
    </row>
    <row r="110" spans="1:11" x14ac:dyDescent="0.3">
      <c r="A110" s="143"/>
      <c r="B110" s="140"/>
      <c r="C110" s="144"/>
      <c r="D110" s="127"/>
      <c r="E110" s="125"/>
      <c r="F110" s="126"/>
      <c r="G110" s="38" t="s">
        <v>80</v>
      </c>
      <c r="H110" s="29">
        <v>170707839</v>
      </c>
      <c r="I110" s="142"/>
      <c r="J110" s="141">
        <v>44772031825</v>
      </c>
      <c r="K110" s="127"/>
    </row>
    <row r="111" spans="1:11" x14ac:dyDescent="0.3">
      <c r="A111" s="143"/>
      <c r="B111" s="140"/>
      <c r="C111" s="144"/>
      <c r="D111" s="127"/>
      <c r="E111" s="125"/>
      <c r="F111" s="126"/>
      <c r="G111" s="38" t="s">
        <v>83</v>
      </c>
      <c r="H111" s="29">
        <v>4478350298</v>
      </c>
      <c r="I111" s="142"/>
      <c r="J111" s="141">
        <v>44772031825</v>
      </c>
      <c r="K111" s="127"/>
    </row>
    <row r="112" spans="1:11" x14ac:dyDescent="0.3">
      <c r="A112" s="143"/>
      <c r="B112" s="140"/>
      <c r="C112" s="144"/>
      <c r="D112" s="127"/>
      <c r="E112" s="125"/>
      <c r="F112" s="126"/>
      <c r="G112" s="38" t="s">
        <v>81</v>
      </c>
      <c r="H112" s="29">
        <v>322895523</v>
      </c>
      <c r="I112" s="142"/>
      <c r="J112" s="141">
        <v>44772031825</v>
      </c>
      <c r="K112" s="127"/>
    </row>
    <row r="113" spans="1:11" x14ac:dyDescent="0.3">
      <c r="A113" s="143"/>
      <c r="B113" s="140"/>
      <c r="C113" s="144"/>
      <c r="D113" s="127"/>
      <c r="E113" s="125"/>
      <c r="F113" s="126"/>
      <c r="G113" s="38" t="s">
        <v>82</v>
      </c>
      <c r="H113" s="29">
        <v>636021105</v>
      </c>
      <c r="I113" s="142"/>
      <c r="J113" s="141">
        <v>44772031825</v>
      </c>
      <c r="K113" s="127"/>
    </row>
    <row r="114" spans="1:11" x14ac:dyDescent="0.3">
      <c r="A114" s="39">
        <v>5</v>
      </c>
      <c r="B114" s="15">
        <v>42871</v>
      </c>
      <c r="C114" s="16">
        <v>41151</v>
      </c>
      <c r="D114" s="17">
        <v>2866</v>
      </c>
      <c r="E114" s="30" t="s">
        <v>15</v>
      </c>
      <c r="F114" s="19" t="s">
        <v>60</v>
      </c>
      <c r="G114" s="30" t="s">
        <v>177</v>
      </c>
      <c r="H114" s="30" t="s">
        <v>177</v>
      </c>
      <c r="I114" s="24">
        <v>7429495224</v>
      </c>
      <c r="J114" s="29">
        <f>K114-I114</f>
        <v>1831054168</v>
      </c>
      <c r="K114" s="17">
        <v>9260549392</v>
      </c>
    </row>
    <row r="115" spans="1:11" ht="41.4" x14ac:dyDescent="0.3">
      <c r="A115" s="39">
        <v>5</v>
      </c>
      <c r="B115" s="15">
        <v>42885</v>
      </c>
      <c r="C115" s="16">
        <v>41161</v>
      </c>
      <c r="D115" s="17">
        <v>2883</v>
      </c>
      <c r="E115" s="30" t="s">
        <v>15</v>
      </c>
      <c r="F115" s="11" t="s">
        <v>84</v>
      </c>
      <c r="G115" s="20" t="s">
        <v>85</v>
      </c>
      <c r="H115" s="24">
        <v>34503220</v>
      </c>
      <c r="I115" s="30" t="s">
        <v>177</v>
      </c>
      <c r="J115" s="30" t="s">
        <v>177</v>
      </c>
      <c r="K115" s="18">
        <v>34503220</v>
      </c>
    </row>
    <row r="116" spans="1:11" ht="27.6" x14ac:dyDescent="0.3">
      <c r="A116" s="143">
        <v>5</v>
      </c>
      <c r="B116" s="140">
        <v>42885</v>
      </c>
      <c r="C116" s="144">
        <v>41161</v>
      </c>
      <c r="D116" s="127">
        <v>2884</v>
      </c>
      <c r="E116" s="150" t="s">
        <v>15</v>
      </c>
      <c r="F116" s="125" t="s">
        <v>14</v>
      </c>
      <c r="G116" s="22" t="s">
        <v>69</v>
      </c>
      <c r="H116" s="23">
        <v>335000000</v>
      </c>
      <c r="I116" s="142">
        <v>4701810445</v>
      </c>
      <c r="J116" s="141">
        <f>K116-9489810445</f>
        <v>47687490</v>
      </c>
      <c r="K116" s="148">
        <v>9537497935</v>
      </c>
    </row>
    <row r="117" spans="1:11" ht="27.6" x14ac:dyDescent="0.3">
      <c r="A117" s="143"/>
      <c r="B117" s="140"/>
      <c r="C117" s="144"/>
      <c r="D117" s="127"/>
      <c r="E117" s="150"/>
      <c r="F117" s="125"/>
      <c r="G117" s="22" t="s">
        <v>68</v>
      </c>
      <c r="H117" s="27">
        <v>125000000</v>
      </c>
      <c r="I117" s="142"/>
      <c r="J117" s="141">
        <v>9489810445</v>
      </c>
      <c r="K117" s="148"/>
    </row>
    <row r="118" spans="1:11" x14ac:dyDescent="0.3">
      <c r="A118" s="143"/>
      <c r="B118" s="140"/>
      <c r="C118" s="144"/>
      <c r="D118" s="127"/>
      <c r="E118" s="150"/>
      <c r="F118" s="125"/>
      <c r="G118" s="22" t="s">
        <v>70</v>
      </c>
      <c r="H118" s="23">
        <v>70000000</v>
      </c>
      <c r="I118" s="142"/>
      <c r="J118" s="141">
        <v>9489810445</v>
      </c>
      <c r="K118" s="148"/>
    </row>
    <row r="119" spans="1:11" x14ac:dyDescent="0.3">
      <c r="A119" s="143"/>
      <c r="B119" s="140"/>
      <c r="C119" s="144"/>
      <c r="D119" s="127"/>
      <c r="E119" s="150"/>
      <c r="F119" s="125"/>
      <c r="G119" s="22" t="s">
        <v>61</v>
      </c>
      <c r="H119" s="23">
        <v>153000000</v>
      </c>
      <c r="I119" s="142"/>
      <c r="J119" s="141">
        <v>9489810445</v>
      </c>
      <c r="K119" s="148"/>
    </row>
    <row r="120" spans="1:11" x14ac:dyDescent="0.3">
      <c r="A120" s="143"/>
      <c r="B120" s="140"/>
      <c r="C120" s="144"/>
      <c r="D120" s="127"/>
      <c r="E120" s="150"/>
      <c r="F120" s="125"/>
      <c r="G120" s="22" t="s">
        <v>66</v>
      </c>
      <c r="H120" s="23">
        <v>172000000</v>
      </c>
      <c r="I120" s="142"/>
      <c r="J120" s="141">
        <v>9489810445</v>
      </c>
      <c r="K120" s="148"/>
    </row>
    <row r="121" spans="1:11" x14ac:dyDescent="0.3">
      <c r="A121" s="143"/>
      <c r="B121" s="140"/>
      <c r="C121" s="144"/>
      <c r="D121" s="127"/>
      <c r="E121" s="150"/>
      <c r="F121" s="125"/>
      <c r="G121" s="22" t="s">
        <v>67</v>
      </c>
      <c r="H121" s="23">
        <v>15000000</v>
      </c>
      <c r="I121" s="142"/>
      <c r="J121" s="141">
        <v>9489810445</v>
      </c>
      <c r="K121" s="148"/>
    </row>
    <row r="122" spans="1:11" x14ac:dyDescent="0.3">
      <c r="A122" s="143"/>
      <c r="B122" s="140"/>
      <c r="C122" s="144"/>
      <c r="D122" s="127"/>
      <c r="E122" s="150"/>
      <c r="F122" s="125"/>
      <c r="G122" s="22" t="s">
        <v>65</v>
      </c>
      <c r="H122" s="23">
        <v>93000000</v>
      </c>
      <c r="I122" s="142"/>
      <c r="J122" s="141">
        <v>9489810445</v>
      </c>
      <c r="K122" s="148"/>
    </row>
    <row r="123" spans="1:11" x14ac:dyDescent="0.3">
      <c r="A123" s="143"/>
      <c r="B123" s="140"/>
      <c r="C123" s="144"/>
      <c r="D123" s="127"/>
      <c r="E123" s="150"/>
      <c r="F123" s="125"/>
      <c r="G123" s="22" t="s">
        <v>62</v>
      </c>
      <c r="H123" s="23">
        <v>1750000000</v>
      </c>
      <c r="I123" s="142"/>
      <c r="J123" s="141">
        <v>9489810445</v>
      </c>
      <c r="K123" s="148"/>
    </row>
    <row r="124" spans="1:11" x14ac:dyDescent="0.3">
      <c r="A124" s="143"/>
      <c r="B124" s="140"/>
      <c r="C124" s="144"/>
      <c r="D124" s="127"/>
      <c r="E124" s="150"/>
      <c r="F124" s="125"/>
      <c r="G124" s="38" t="s">
        <v>63</v>
      </c>
      <c r="H124" s="23">
        <v>20000000</v>
      </c>
      <c r="I124" s="142"/>
      <c r="J124" s="141">
        <v>9489810445</v>
      </c>
      <c r="K124" s="148"/>
    </row>
    <row r="125" spans="1:11" x14ac:dyDescent="0.3">
      <c r="A125" s="143"/>
      <c r="B125" s="140"/>
      <c r="C125" s="144"/>
      <c r="D125" s="127"/>
      <c r="E125" s="150"/>
      <c r="F125" s="125"/>
      <c r="G125" s="38" t="s">
        <v>64</v>
      </c>
      <c r="H125" s="23">
        <v>1610000000</v>
      </c>
      <c r="I125" s="142"/>
      <c r="J125" s="141">
        <v>9489810445</v>
      </c>
      <c r="K125" s="148"/>
    </row>
    <row r="126" spans="1:11" ht="27.6" x14ac:dyDescent="0.3">
      <c r="A126" s="143"/>
      <c r="B126" s="140"/>
      <c r="C126" s="144"/>
      <c r="D126" s="127"/>
      <c r="E126" s="150"/>
      <c r="F126" s="125"/>
      <c r="G126" s="38" t="s">
        <v>71</v>
      </c>
      <c r="H126" s="23">
        <v>445000000</v>
      </c>
      <c r="I126" s="142"/>
      <c r="J126" s="141">
        <v>9489810445</v>
      </c>
      <c r="K126" s="148"/>
    </row>
    <row r="127" spans="1:11" x14ac:dyDescent="0.3">
      <c r="A127" s="39">
        <v>6</v>
      </c>
      <c r="B127" s="15">
        <v>42892</v>
      </c>
      <c r="C127" s="16">
        <v>41166</v>
      </c>
      <c r="D127" s="17">
        <v>2891</v>
      </c>
      <c r="E127" s="25" t="s">
        <v>15</v>
      </c>
      <c r="F127" s="26" t="s">
        <v>97</v>
      </c>
      <c r="G127" s="76" t="s">
        <v>575</v>
      </c>
      <c r="H127" s="30" t="s">
        <v>177</v>
      </c>
      <c r="I127" s="30" t="s">
        <v>177</v>
      </c>
      <c r="J127" s="30" t="s">
        <v>177</v>
      </c>
      <c r="K127" s="18">
        <v>800000000</v>
      </c>
    </row>
    <row r="128" spans="1:11" x14ac:dyDescent="0.3">
      <c r="A128" s="39">
        <v>6</v>
      </c>
      <c r="B128" s="15">
        <v>42892</v>
      </c>
      <c r="C128" s="16">
        <v>41166</v>
      </c>
      <c r="D128" s="17">
        <v>2892</v>
      </c>
      <c r="E128" s="30" t="s">
        <v>15</v>
      </c>
      <c r="F128" s="10" t="s">
        <v>7</v>
      </c>
      <c r="G128" s="20" t="s">
        <v>12</v>
      </c>
      <c r="H128" s="17">
        <v>1218016257</v>
      </c>
      <c r="I128" s="30" t="s">
        <v>177</v>
      </c>
      <c r="J128" s="30"/>
      <c r="K128" s="17">
        <v>1218016257</v>
      </c>
    </row>
    <row r="129" spans="1:11" x14ac:dyDescent="0.3">
      <c r="A129" s="39">
        <v>6</v>
      </c>
      <c r="B129" s="15">
        <v>42892</v>
      </c>
      <c r="C129" s="16">
        <v>41166</v>
      </c>
      <c r="D129" s="17">
        <v>2893</v>
      </c>
      <c r="E129" s="30"/>
      <c r="F129" s="10" t="s">
        <v>14</v>
      </c>
      <c r="G129" s="20"/>
      <c r="H129" s="17"/>
      <c r="I129" s="30" t="s">
        <v>177</v>
      </c>
      <c r="J129" s="17">
        <v>905167436</v>
      </c>
      <c r="K129" s="17">
        <v>905167436</v>
      </c>
    </row>
    <row r="130" spans="1:11" x14ac:dyDescent="0.3">
      <c r="A130" s="143">
        <v>6</v>
      </c>
      <c r="B130" s="140">
        <v>42892</v>
      </c>
      <c r="C130" s="144">
        <v>41166</v>
      </c>
      <c r="D130" s="127">
        <v>2895</v>
      </c>
      <c r="E130" s="125" t="s">
        <v>15</v>
      </c>
      <c r="F130" s="151" t="s">
        <v>86</v>
      </c>
      <c r="G130" s="38" t="s">
        <v>391</v>
      </c>
      <c r="H130" s="29">
        <v>602066065</v>
      </c>
      <c r="I130" s="30" t="s">
        <v>177</v>
      </c>
      <c r="J130" s="30" t="s">
        <v>177</v>
      </c>
      <c r="K130" s="17">
        <v>1977553955</v>
      </c>
    </row>
    <row r="131" spans="1:11" x14ac:dyDescent="0.3">
      <c r="A131" s="143"/>
      <c r="B131" s="140"/>
      <c r="C131" s="144"/>
      <c r="D131" s="127"/>
      <c r="E131" s="125"/>
      <c r="F131" s="151"/>
      <c r="G131" s="38" t="s">
        <v>525</v>
      </c>
      <c r="H131" s="29">
        <v>1375487890</v>
      </c>
      <c r="I131" s="30" t="s">
        <v>177</v>
      </c>
      <c r="J131" s="30" t="s">
        <v>177</v>
      </c>
      <c r="K131" s="17"/>
    </row>
    <row r="132" spans="1:11" ht="27.6" x14ac:dyDescent="0.3">
      <c r="A132" s="39">
        <v>6</v>
      </c>
      <c r="B132" s="15">
        <v>42892</v>
      </c>
      <c r="C132" s="16">
        <v>41166</v>
      </c>
      <c r="D132" s="17">
        <v>2897</v>
      </c>
      <c r="E132" s="30" t="s">
        <v>15</v>
      </c>
      <c r="F132" s="11" t="s">
        <v>87</v>
      </c>
      <c r="G132" s="38" t="s">
        <v>527</v>
      </c>
      <c r="H132" s="17">
        <v>807837282</v>
      </c>
      <c r="I132" s="30" t="s">
        <v>177</v>
      </c>
      <c r="J132" s="30" t="s">
        <v>177</v>
      </c>
      <c r="K132" s="17">
        <v>807837282</v>
      </c>
    </row>
    <row r="133" spans="1:11" x14ac:dyDescent="0.3">
      <c r="A133" s="39">
        <v>6</v>
      </c>
      <c r="B133" s="15">
        <v>42892</v>
      </c>
      <c r="C133" s="16">
        <v>41166</v>
      </c>
      <c r="D133" s="17">
        <v>2899</v>
      </c>
      <c r="E133" s="30" t="s">
        <v>15</v>
      </c>
      <c r="F133" s="69" t="s">
        <v>25</v>
      </c>
      <c r="G133" s="22" t="s">
        <v>536</v>
      </c>
      <c r="H133" s="17">
        <v>14743701804</v>
      </c>
      <c r="I133" s="30" t="s">
        <v>177</v>
      </c>
      <c r="J133" s="30" t="s">
        <v>177</v>
      </c>
      <c r="K133" s="17">
        <v>14743701804</v>
      </c>
    </row>
    <row r="134" spans="1:11" ht="27.6" x14ac:dyDescent="0.3">
      <c r="A134" s="39">
        <v>6</v>
      </c>
      <c r="B134" s="15">
        <v>42892</v>
      </c>
      <c r="C134" s="16">
        <v>6304</v>
      </c>
      <c r="D134" s="17">
        <v>2900</v>
      </c>
      <c r="E134" s="30" t="s">
        <v>15</v>
      </c>
      <c r="F134" s="19" t="s">
        <v>41</v>
      </c>
      <c r="G134" s="20" t="s">
        <v>89</v>
      </c>
      <c r="H134" s="17"/>
      <c r="I134" s="30" t="s">
        <v>177</v>
      </c>
      <c r="J134" s="30" t="s">
        <v>177</v>
      </c>
      <c r="K134" s="17">
        <v>113803957245</v>
      </c>
    </row>
    <row r="135" spans="1:11" x14ac:dyDescent="0.3">
      <c r="A135" s="143">
        <v>6</v>
      </c>
      <c r="B135" s="140">
        <v>42899</v>
      </c>
      <c r="C135" s="144">
        <v>6305</v>
      </c>
      <c r="D135" s="127">
        <v>2915</v>
      </c>
      <c r="E135" s="150" t="s">
        <v>15</v>
      </c>
      <c r="F135" s="19" t="s">
        <v>36</v>
      </c>
      <c r="G135" s="30" t="s">
        <v>177</v>
      </c>
      <c r="H135" s="34">
        <v>1934036501</v>
      </c>
      <c r="I135" s="29">
        <v>1273098316</v>
      </c>
      <c r="J135" s="127" t="s">
        <v>177</v>
      </c>
      <c r="K135" s="127">
        <v>1647812598200</v>
      </c>
    </row>
    <row r="136" spans="1:11" x14ac:dyDescent="0.3">
      <c r="A136" s="143"/>
      <c r="B136" s="140"/>
      <c r="C136" s="144"/>
      <c r="D136" s="127"/>
      <c r="E136" s="150"/>
      <c r="F136" s="19" t="s">
        <v>37</v>
      </c>
      <c r="G136" s="30" t="s">
        <v>177</v>
      </c>
      <c r="H136" s="34">
        <v>6059512443</v>
      </c>
      <c r="I136" s="29">
        <v>4960410011</v>
      </c>
      <c r="J136" s="127"/>
      <c r="K136" s="127"/>
    </row>
    <row r="137" spans="1:11" ht="27.6" x14ac:dyDescent="0.3">
      <c r="A137" s="143"/>
      <c r="B137" s="140"/>
      <c r="C137" s="144"/>
      <c r="D137" s="127"/>
      <c r="E137" s="150"/>
      <c r="F137" s="19" t="s">
        <v>97</v>
      </c>
      <c r="G137" s="30" t="s">
        <v>177</v>
      </c>
      <c r="H137" s="34">
        <v>5821558979</v>
      </c>
      <c r="I137" s="29">
        <v>4867948204</v>
      </c>
      <c r="J137" s="127"/>
      <c r="K137" s="127"/>
    </row>
    <row r="138" spans="1:11" x14ac:dyDescent="0.3">
      <c r="A138" s="143"/>
      <c r="B138" s="140"/>
      <c r="C138" s="144"/>
      <c r="D138" s="127"/>
      <c r="E138" s="150"/>
      <c r="F138" s="19" t="s">
        <v>591</v>
      </c>
      <c r="G138" s="30" t="s">
        <v>177</v>
      </c>
      <c r="H138" s="34">
        <v>165712328026</v>
      </c>
      <c r="I138" s="29">
        <v>77502339538</v>
      </c>
      <c r="J138" s="127"/>
      <c r="K138" s="127"/>
    </row>
    <row r="139" spans="1:11" x14ac:dyDescent="0.3">
      <c r="A139" s="143"/>
      <c r="B139" s="140"/>
      <c r="C139" s="144"/>
      <c r="D139" s="127"/>
      <c r="E139" s="150"/>
      <c r="F139" s="19" t="s">
        <v>592</v>
      </c>
      <c r="G139" s="30" t="s">
        <v>177</v>
      </c>
      <c r="H139" s="34">
        <v>310564194993</v>
      </c>
      <c r="I139" s="29">
        <v>234796987506</v>
      </c>
      <c r="J139" s="127"/>
      <c r="K139" s="127"/>
    </row>
    <row r="140" spans="1:11" ht="27.6" x14ac:dyDescent="0.3">
      <c r="A140" s="143"/>
      <c r="B140" s="140"/>
      <c r="C140" s="144"/>
      <c r="D140" s="127"/>
      <c r="E140" s="150"/>
      <c r="F140" s="19" t="s">
        <v>593</v>
      </c>
      <c r="G140" s="30" t="s">
        <v>177</v>
      </c>
      <c r="H140" s="34">
        <v>394733592766</v>
      </c>
      <c r="I140" s="29">
        <v>2363955027</v>
      </c>
      <c r="J140" s="127"/>
      <c r="K140" s="127"/>
    </row>
    <row r="141" spans="1:11" x14ac:dyDescent="0.3">
      <c r="A141" s="143"/>
      <c r="B141" s="140"/>
      <c r="C141" s="144"/>
      <c r="D141" s="127"/>
      <c r="E141" s="150"/>
      <c r="F141" s="19" t="s">
        <v>39</v>
      </c>
      <c r="G141" s="30" t="s">
        <v>177</v>
      </c>
      <c r="H141" s="34">
        <v>22989067147</v>
      </c>
      <c r="I141" s="24">
        <f>14390120007+2665412636+277992555+98248464+86658721</f>
        <v>17518432383</v>
      </c>
      <c r="J141" s="127"/>
      <c r="K141" s="127"/>
    </row>
    <row r="142" spans="1:11" x14ac:dyDescent="0.3">
      <c r="A142" s="143"/>
      <c r="B142" s="140"/>
      <c r="C142" s="144"/>
      <c r="D142" s="127"/>
      <c r="E142" s="150"/>
      <c r="F142" s="19" t="s">
        <v>40</v>
      </c>
      <c r="G142" s="30" t="s">
        <v>177</v>
      </c>
      <c r="H142" s="34">
        <v>10149726005</v>
      </c>
      <c r="I142" s="24">
        <v>8982893484</v>
      </c>
      <c r="J142" s="127"/>
      <c r="K142" s="127"/>
    </row>
    <row r="143" spans="1:11" x14ac:dyDescent="0.3">
      <c r="A143" s="143"/>
      <c r="B143" s="140"/>
      <c r="C143" s="144"/>
      <c r="D143" s="127"/>
      <c r="E143" s="150"/>
      <c r="F143" s="19" t="s">
        <v>26</v>
      </c>
      <c r="G143" s="30" t="s">
        <v>177</v>
      </c>
      <c r="H143" s="34">
        <v>3723006494</v>
      </c>
      <c r="I143" s="24">
        <v>504765155</v>
      </c>
      <c r="J143" s="127"/>
      <c r="K143" s="127"/>
    </row>
    <row r="144" spans="1:11" ht="27.6" x14ac:dyDescent="0.3">
      <c r="A144" s="143"/>
      <c r="B144" s="140"/>
      <c r="C144" s="144"/>
      <c r="D144" s="127"/>
      <c r="E144" s="150"/>
      <c r="F144" s="19" t="s">
        <v>594</v>
      </c>
      <c r="G144" s="30" t="s">
        <v>177</v>
      </c>
      <c r="H144" s="34">
        <v>25252334091</v>
      </c>
      <c r="I144" s="24">
        <v>8571883756</v>
      </c>
      <c r="J144" s="127"/>
      <c r="K144" s="127"/>
    </row>
    <row r="145" spans="1:11" x14ac:dyDescent="0.3">
      <c r="A145" s="143"/>
      <c r="B145" s="140"/>
      <c r="C145" s="144"/>
      <c r="D145" s="127"/>
      <c r="E145" s="150"/>
      <c r="F145" s="19" t="s">
        <v>42</v>
      </c>
      <c r="G145" s="30" t="s">
        <v>177</v>
      </c>
      <c r="H145" s="34">
        <v>1225644585</v>
      </c>
      <c r="I145" s="24">
        <f>358265729+27076281+761175326</f>
        <v>1146517336</v>
      </c>
      <c r="J145" s="127"/>
      <c r="K145" s="127"/>
    </row>
    <row r="146" spans="1:11" x14ac:dyDescent="0.3">
      <c r="A146" s="143"/>
      <c r="B146" s="140"/>
      <c r="C146" s="144"/>
      <c r="D146" s="127"/>
      <c r="E146" s="150"/>
      <c r="F146" s="19" t="s">
        <v>28</v>
      </c>
      <c r="G146" s="30" t="s">
        <v>177</v>
      </c>
      <c r="H146" s="34">
        <v>8831061738</v>
      </c>
      <c r="I146" s="24">
        <f>4328319759+2728505156</f>
        <v>7056824915</v>
      </c>
      <c r="J146" s="127"/>
      <c r="K146" s="127"/>
    </row>
    <row r="147" spans="1:11" ht="27.6" x14ac:dyDescent="0.3">
      <c r="A147" s="143"/>
      <c r="B147" s="140"/>
      <c r="C147" s="144"/>
      <c r="D147" s="127"/>
      <c r="E147" s="150"/>
      <c r="F147" s="19" t="s">
        <v>595</v>
      </c>
      <c r="G147" s="30" t="s">
        <v>177</v>
      </c>
      <c r="H147" s="34">
        <v>5749406690</v>
      </c>
      <c r="I147" s="30" t="s">
        <v>177</v>
      </c>
      <c r="J147" s="127"/>
      <c r="K147" s="127"/>
    </row>
    <row r="148" spans="1:11" ht="27.6" x14ac:dyDescent="0.3">
      <c r="A148" s="143"/>
      <c r="B148" s="140"/>
      <c r="C148" s="144"/>
      <c r="D148" s="127"/>
      <c r="E148" s="150"/>
      <c r="F148" s="19" t="s">
        <v>597</v>
      </c>
      <c r="G148" s="30" t="s">
        <v>177</v>
      </c>
      <c r="H148" s="34">
        <v>9330501223</v>
      </c>
      <c r="I148" s="24">
        <v>1065940119</v>
      </c>
      <c r="J148" s="127"/>
      <c r="K148" s="127"/>
    </row>
    <row r="149" spans="1:11" ht="27.6" x14ac:dyDescent="0.3">
      <c r="A149" s="143"/>
      <c r="B149" s="140"/>
      <c r="C149" s="144"/>
      <c r="D149" s="127"/>
      <c r="E149" s="150"/>
      <c r="F149" s="19" t="s">
        <v>596</v>
      </c>
      <c r="G149" s="30" t="s">
        <v>177</v>
      </c>
      <c r="H149" s="34">
        <v>11680690368</v>
      </c>
      <c r="I149" s="24">
        <f>76606593+115010549+1200000+20043639</f>
        <v>212860781</v>
      </c>
      <c r="J149" s="127"/>
      <c r="K149" s="127"/>
    </row>
    <row r="150" spans="1:11" x14ac:dyDescent="0.3">
      <c r="A150" s="143"/>
      <c r="B150" s="140"/>
      <c r="C150" s="144"/>
      <c r="D150" s="127"/>
      <c r="E150" s="150"/>
      <c r="F150" s="19" t="s">
        <v>90</v>
      </c>
      <c r="G150" s="30" t="s">
        <v>177</v>
      </c>
      <c r="H150" s="34">
        <v>15804968</v>
      </c>
      <c r="I150" s="24">
        <f>4586210+11218758</f>
        <v>15804968</v>
      </c>
      <c r="J150" s="127"/>
      <c r="K150" s="127"/>
    </row>
    <row r="151" spans="1:11" x14ac:dyDescent="0.3">
      <c r="A151" s="143"/>
      <c r="B151" s="140"/>
      <c r="C151" s="144"/>
      <c r="D151" s="127"/>
      <c r="E151" s="150"/>
      <c r="F151" s="19" t="s">
        <v>44</v>
      </c>
      <c r="G151" s="30" t="s">
        <v>177</v>
      </c>
      <c r="H151" s="34">
        <v>417922081</v>
      </c>
      <c r="I151" s="24">
        <f>170738842+16158974+1243838+24638336+20749331+17258963</f>
        <v>250788284</v>
      </c>
      <c r="J151" s="127"/>
      <c r="K151" s="127"/>
    </row>
    <row r="152" spans="1:11" x14ac:dyDescent="0.3">
      <c r="A152" s="143"/>
      <c r="B152" s="140"/>
      <c r="C152" s="144"/>
      <c r="D152" s="127"/>
      <c r="E152" s="150"/>
      <c r="F152" s="19" t="s">
        <v>598</v>
      </c>
      <c r="G152" s="30" t="s">
        <v>177</v>
      </c>
      <c r="H152" s="34">
        <v>6648613207</v>
      </c>
      <c r="I152" s="30" t="s">
        <v>177</v>
      </c>
      <c r="J152" s="127"/>
      <c r="K152" s="127"/>
    </row>
    <row r="153" spans="1:11" x14ac:dyDescent="0.3">
      <c r="A153" s="143"/>
      <c r="B153" s="140"/>
      <c r="C153" s="144"/>
      <c r="D153" s="127"/>
      <c r="E153" s="150"/>
      <c r="F153" s="19" t="s">
        <v>599</v>
      </c>
      <c r="G153" s="30" t="s">
        <v>177</v>
      </c>
      <c r="H153" s="34">
        <v>67847256</v>
      </c>
      <c r="I153" s="30" t="s">
        <v>177</v>
      </c>
      <c r="J153" s="127"/>
      <c r="K153" s="127"/>
    </row>
    <row r="154" spans="1:11" x14ac:dyDescent="0.3">
      <c r="A154" s="143"/>
      <c r="B154" s="140"/>
      <c r="C154" s="144"/>
      <c r="D154" s="127"/>
      <c r="E154" s="150"/>
      <c r="F154" s="19" t="s">
        <v>600</v>
      </c>
      <c r="G154" s="30" t="s">
        <v>177</v>
      </c>
      <c r="H154" s="34">
        <v>2152019366</v>
      </c>
      <c r="I154" s="30" t="s">
        <v>177</v>
      </c>
      <c r="J154" s="127"/>
      <c r="K154" s="127"/>
    </row>
    <row r="155" spans="1:11" x14ac:dyDescent="0.3">
      <c r="A155" s="143"/>
      <c r="B155" s="140"/>
      <c r="C155" s="144"/>
      <c r="D155" s="127"/>
      <c r="E155" s="150"/>
      <c r="F155" s="19" t="s">
        <v>601</v>
      </c>
      <c r="G155" s="30" t="s">
        <v>177</v>
      </c>
      <c r="H155" s="34">
        <v>5198747614</v>
      </c>
      <c r="I155" s="29">
        <v>1948719216</v>
      </c>
      <c r="J155" s="127"/>
      <c r="K155" s="127"/>
    </row>
    <row r="156" spans="1:11" x14ac:dyDescent="0.3">
      <c r="A156" s="143"/>
      <c r="B156" s="140"/>
      <c r="C156" s="144"/>
      <c r="D156" s="127"/>
      <c r="E156" s="150"/>
      <c r="F156" s="19" t="s">
        <v>608</v>
      </c>
      <c r="G156" s="30" t="s">
        <v>177</v>
      </c>
      <c r="H156" s="34">
        <v>234093289571</v>
      </c>
      <c r="I156" s="29">
        <v>46353291884</v>
      </c>
      <c r="J156" s="127"/>
      <c r="K156" s="127"/>
    </row>
    <row r="157" spans="1:11" ht="27.6" x14ac:dyDescent="0.3">
      <c r="A157" s="143"/>
      <c r="B157" s="140"/>
      <c r="C157" s="144"/>
      <c r="D157" s="127"/>
      <c r="E157" s="150"/>
      <c r="F157" s="19" t="s">
        <v>606</v>
      </c>
      <c r="G157" s="30" t="s">
        <v>177</v>
      </c>
      <c r="H157" s="34">
        <v>5292087224</v>
      </c>
      <c r="I157" s="29">
        <v>2656995433</v>
      </c>
      <c r="J157" s="127"/>
      <c r="K157" s="127"/>
    </row>
    <row r="158" spans="1:11" ht="27.6" x14ac:dyDescent="0.3">
      <c r="A158" s="143"/>
      <c r="B158" s="140"/>
      <c r="C158" s="144"/>
      <c r="D158" s="127"/>
      <c r="E158" s="150"/>
      <c r="F158" s="19" t="s">
        <v>607</v>
      </c>
      <c r="G158" s="30" t="s">
        <v>177</v>
      </c>
      <c r="H158" s="34">
        <v>4119570634</v>
      </c>
      <c r="I158" s="29">
        <v>1906186794</v>
      </c>
      <c r="J158" s="127"/>
      <c r="K158" s="127"/>
    </row>
    <row r="159" spans="1:11" x14ac:dyDescent="0.3">
      <c r="A159" s="143"/>
      <c r="B159" s="140"/>
      <c r="C159" s="144"/>
      <c r="D159" s="127"/>
      <c r="E159" s="150"/>
      <c r="F159" s="19" t="s">
        <v>605</v>
      </c>
      <c r="G159" s="30" t="s">
        <v>177</v>
      </c>
      <c r="H159" s="34">
        <v>36098663578</v>
      </c>
      <c r="I159" s="29">
        <v>830441316</v>
      </c>
      <c r="J159" s="127"/>
      <c r="K159" s="127"/>
    </row>
    <row r="160" spans="1:11" x14ac:dyDescent="0.3">
      <c r="A160" s="143"/>
      <c r="B160" s="140"/>
      <c r="C160" s="144"/>
      <c r="D160" s="127"/>
      <c r="E160" s="150"/>
      <c r="F160" s="19" t="s">
        <v>7</v>
      </c>
      <c r="G160" s="30" t="s">
        <v>177</v>
      </c>
      <c r="H160" s="34">
        <v>448759287</v>
      </c>
      <c r="I160" s="29">
        <v>1892645</v>
      </c>
      <c r="J160" s="127"/>
      <c r="K160" s="127"/>
    </row>
    <row r="161" spans="1:11" ht="27.6" x14ac:dyDescent="0.3">
      <c r="A161" s="143"/>
      <c r="B161" s="140"/>
      <c r="C161" s="144"/>
      <c r="D161" s="127"/>
      <c r="E161" s="150"/>
      <c r="F161" s="19" t="s">
        <v>604</v>
      </c>
      <c r="G161" s="30" t="s">
        <v>177</v>
      </c>
      <c r="H161" s="34">
        <v>27859308939</v>
      </c>
      <c r="I161" s="29">
        <v>8239521869</v>
      </c>
      <c r="J161" s="127"/>
      <c r="K161" s="127"/>
    </row>
    <row r="162" spans="1:11" x14ac:dyDescent="0.3">
      <c r="A162" s="143"/>
      <c r="B162" s="140"/>
      <c r="C162" s="144"/>
      <c r="D162" s="127"/>
      <c r="E162" s="150"/>
      <c r="F162" s="19" t="s">
        <v>48</v>
      </c>
      <c r="G162" s="30" t="s">
        <v>177</v>
      </c>
      <c r="H162" s="34">
        <v>5621945612</v>
      </c>
      <c r="I162" s="29">
        <v>5164540428</v>
      </c>
      <c r="J162" s="127"/>
      <c r="K162" s="127"/>
    </row>
    <row r="163" spans="1:11" x14ac:dyDescent="0.3">
      <c r="A163" s="143"/>
      <c r="B163" s="140"/>
      <c r="C163" s="144"/>
      <c r="D163" s="127"/>
      <c r="E163" s="150"/>
      <c r="F163" s="19" t="s">
        <v>49</v>
      </c>
      <c r="G163" s="30" t="s">
        <v>177</v>
      </c>
      <c r="H163" s="34">
        <v>3109919311</v>
      </c>
      <c r="I163" s="30" t="s">
        <v>177</v>
      </c>
      <c r="J163" s="127"/>
      <c r="K163" s="127"/>
    </row>
    <row r="164" spans="1:11" ht="27.6" x14ac:dyDescent="0.3">
      <c r="A164" s="143"/>
      <c r="B164" s="140"/>
      <c r="C164" s="144"/>
      <c r="D164" s="127"/>
      <c r="E164" s="150"/>
      <c r="F164" s="19" t="s">
        <v>602</v>
      </c>
      <c r="G164" s="30" t="s">
        <v>177</v>
      </c>
      <c r="H164" s="34">
        <v>212717998574</v>
      </c>
      <c r="I164" s="30" t="s">
        <v>177</v>
      </c>
      <c r="J164" s="127"/>
      <c r="K164" s="127"/>
    </row>
    <row r="165" spans="1:11" ht="27.6" x14ac:dyDescent="0.3">
      <c r="A165" s="143"/>
      <c r="B165" s="140"/>
      <c r="C165" s="144"/>
      <c r="D165" s="127"/>
      <c r="E165" s="150"/>
      <c r="F165" s="19" t="s">
        <v>603</v>
      </c>
      <c r="G165" s="30" t="s">
        <v>177</v>
      </c>
      <c r="H165" s="34">
        <v>2600861511</v>
      </c>
      <c r="I165" s="29">
        <v>1562956919</v>
      </c>
      <c r="J165" s="127"/>
      <c r="K165" s="127"/>
    </row>
    <row r="166" spans="1:11" ht="27.6" x14ac:dyDescent="0.3">
      <c r="A166" s="143"/>
      <c r="B166" s="140"/>
      <c r="C166" s="144"/>
      <c r="D166" s="127"/>
      <c r="E166" s="150"/>
      <c r="F166" s="19" t="s">
        <v>609</v>
      </c>
      <c r="G166" s="30" t="s">
        <v>177</v>
      </c>
      <c r="H166" s="34">
        <v>4545625717</v>
      </c>
      <c r="I166" s="29">
        <v>1615009700</v>
      </c>
      <c r="J166" s="127"/>
      <c r="K166" s="127"/>
    </row>
    <row r="167" spans="1:11" x14ac:dyDescent="0.3">
      <c r="A167" s="143"/>
      <c r="B167" s="140"/>
      <c r="C167" s="144"/>
      <c r="D167" s="127"/>
      <c r="E167" s="150"/>
      <c r="F167" s="19" t="s">
        <v>610</v>
      </c>
      <c r="G167" s="30" t="s">
        <v>177</v>
      </c>
      <c r="H167" s="34">
        <v>3002194729</v>
      </c>
      <c r="I167" s="29">
        <v>1519056206</v>
      </c>
      <c r="J167" s="127"/>
      <c r="K167" s="127"/>
    </row>
    <row r="168" spans="1:11" ht="27.6" x14ac:dyDescent="0.3">
      <c r="A168" s="143"/>
      <c r="B168" s="140"/>
      <c r="C168" s="144"/>
      <c r="D168" s="127"/>
      <c r="E168" s="150"/>
      <c r="F168" s="19" t="s">
        <v>611</v>
      </c>
      <c r="G168" s="30" t="s">
        <v>177</v>
      </c>
      <c r="H168" s="34">
        <v>123505929</v>
      </c>
      <c r="I168" s="29">
        <v>122844843</v>
      </c>
      <c r="J168" s="127"/>
      <c r="K168" s="127"/>
    </row>
    <row r="169" spans="1:11" ht="27.6" x14ac:dyDescent="0.3">
      <c r="A169" s="143"/>
      <c r="B169" s="140"/>
      <c r="C169" s="144"/>
      <c r="D169" s="127"/>
      <c r="E169" s="150"/>
      <c r="F169" s="19" t="s">
        <v>612</v>
      </c>
      <c r="G169" s="30" t="s">
        <v>177</v>
      </c>
      <c r="H169" s="34">
        <v>2053696318</v>
      </c>
      <c r="I169" s="29">
        <v>187320757</v>
      </c>
      <c r="J169" s="127"/>
      <c r="K169" s="127"/>
    </row>
    <row r="170" spans="1:11" x14ac:dyDescent="0.3">
      <c r="A170" s="143"/>
      <c r="B170" s="140"/>
      <c r="C170" s="144"/>
      <c r="D170" s="127"/>
      <c r="E170" s="150"/>
      <c r="F170" s="19" t="s">
        <v>613</v>
      </c>
      <c r="G170" s="30" t="s">
        <v>177</v>
      </c>
      <c r="H170" s="34">
        <v>659731508</v>
      </c>
      <c r="I170" s="30" t="s">
        <v>177</v>
      </c>
      <c r="J170" s="127"/>
      <c r="K170" s="127"/>
    </row>
    <row r="171" spans="1:11" ht="27.6" x14ac:dyDescent="0.3">
      <c r="A171" s="143"/>
      <c r="B171" s="140"/>
      <c r="C171" s="144"/>
      <c r="D171" s="127"/>
      <c r="E171" s="150"/>
      <c r="F171" s="19" t="s">
        <v>614</v>
      </c>
      <c r="G171" s="30" t="s">
        <v>177</v>
      </c>
      <c r="H171" s="34">
        <v>19582427193</v>
      </c>
      <c r="I171" s="30" t="s">
        <v>177</v>
      </c>
      <c r="J171" s="127"/>
      <c r="K171" s="127"/>
    </row>
    <row r="172" spans="1:11" ht="27.6" x14ac:dyDescent="0.3">
      <c r="A172" s="143"/>
      <c r="B172" s="140"/>
      <c r="C172" s="144"/>
      <c r="D172" s="127"/>
      <c r="E172" s="150"/>
      <c r="F172" s="19" t="s">
        <v>615</v>
      </c>
      <c r="G172" s="30" t="s">
        <v>177</v>
      </c>
      <c r="H172" s="34">
        <v>14999199355</v>
      </c>
      <c r="I172" s="24">
        <v>543566394</v>
      </c>
      <c r="J172" s="127"/>
      <c r="K172" s="127"/>
    </row>
    <row r="173" spans="1:11" x14ac:dyDescent="0.3">
      <c r="A173" s="143"/>
      <c r="B173" s="140"/>
      <c r="C173" s="144"/>
      <c r="D173" s="127"/>
      <c r="E173" s="150"/>
      <c r="F173" s="19" t="s">
        <v>91</v>
      </c>
      <c r="G173" s="30" t="s">
        <v>177</v>
      </c>
      <c r="H173" s="34">
        <v>41600000</v>
      </c>
      <c r="I173" s="24">
        <v>41600000</v>
      </c>
      <c r="J173" s="127"/>
      <c r="K173" s="127"/>
    </row>
    <row r="174" spans="1:11" x14ac:dyDescent="0.3">
      <c r="A174" s="143"/>
      <c r="B174" s="140"/>
      <c r="C174" s="144"/>
      <c r="D174" s="127"/>
      <c r="E174" s="150"/>
      <c r="F174" s="19" t="s">
        <v>616</v>
      </c>
      <c r="G174" s="30" t="s">
        <v>177</v>
      </c>
      <c r="H174" s="34">
        <v>13879787807</v>
      </c>
      <c r="I174" s="30" t="s">
        <v>177</v>
      </c>
      <c r="J174" s="127"/>
      <c r="K174" s="127"/>
    </row>
    <row r="175" spans="1:11" x14ac:dyDescent="0.3">
      <c r="A175" s="143"/>
      <c r="B175" s="140"/>
      <c r="C175" s="144"/>
      <c r="D175" s="127"/>
      <c r="E175" s="150"/>
      <c r="F175" s="19" t="s">
        <v>617</v>
      </c>
      <c r="G175" s="30" t="s">
        <v>177</v>
      </c>
      <c r="H175" s="34">
        <v>1428739585</v>
      </c>
      <c r="I175" s="24">
        <v>1275314484</v>
      </c>
      <c r="J175" s="127"/>
      <c r="K175" s="127"/>
    </row>
    <row r="176" spans="1:11" x14ac:dyDescent="0.3">
      <c r="A176" s="143"/>
      <c r="B176" s="140"/>
      <c r="C176" s="144"/>
      <c r="D176" s="127"/>
      <c r="E176" s="150"/>
      <c r="F176" s="19" t="s">
        <v>618</v>
      </c>
      <c r="G176" s="30" t="s">
        <v>177</v>
      </c>
      <c r="H176" s="34">
        <v>57276069277</v>
      </c>
      <c r="I176" s="29">
        <v>13318071621</v>
      </c>
      <c r="J176" s="127"/>
      <c r="K176" s="127"/>
    </row>
    <row r="177" spans="1:11" x14ac:dyDescent="0.3">
      <c r="A177" s="39">
        <v>6</v>
      </c>
      <c r="B177" s="15">
        <v>42907</v>
      </c>
      <c r="C177" s="16">
        <v>41177</v>
      </c>
      <c r="D177" s="17">
        <v>2927</v>
      </c>
      <c r="E177" s="30" t="s">
        <v>15</v>
      </c>
      <c r="F177" s="10" t="s">
        <v>18</v>
      </c>
      <c r="G177" s="30" t="s">
        <v>177</v>
      </c>
      <c r="H177" s="30" t="s">
        <v>177</v>
      </c>
      <c r="I177" s="24">
        <v>265124798</v>
      </c>
      <c r="J177" s="30"/>
      <c r="K177" s="17">
        <v>265124798</v>
      </c>
    </row>
    <row r="178" spans="1:11" x14ac:dyDescent="0.3">
      <c r="A178" s="39">
        <v>6</v>
      </c>
      <c r="B178" s="15">
        <v>42907</v>
      </c>
      <c r="C178" s="16">
        <v>41177</v>
      </c>
      <c r="D178" s="17">
        <v>2928</v>
      </c>
      <c r="E178" s="30" t="s">
        <v>15</v>
      </c>
      <c r="F178" s="10" t="s">
        <v>18</v>
      </c>
      <c r="G178" s="30" t="s">
        <v>177</v>
      </c>
      <c r="H178" s="30" t="s">
        <v>177</v>
      </c>
      <c r="I178" s="30" t="s">
        <v>177</v>
      </c>
      <c r="J178" s="17">
        <f>K178</f>
        <v>40000000</v>
      </c>
      <c r="K178" s="17">
        <v>40000000</v>
      </c>
    </row>
    <row r="179" spans="1:11" x14ac:dyDescent="0.3">
      <c r="A179" s="39">
        <v>6</v>
      </c>
      <c r="B179" s="15">
        <v>42907</v>
      </c>
      <c r="C179" s="16">
        <v>41177</v>
      </c>
      <c r="D179" s="17">
        <v>2929</v>
      </c>
      <c r="E179" s="30" t="s">
        <v>15</v>
      </c>
      <c r="F179" s="19" t="s">
        <v>39</v>
      </c>
      <c r="G179" s="30" t="s">
        <v>177</v>
      </c>
      <c r="H179" s="30" t="s">
        <v>177</v>
      </c>
      <c r="I179" s="24">
        <v>2884297270</v>
      </c>
      <c r="J179" s="24">
        <f>K179-I179</f>
        <v>843836056</v>
      </c>
      <c r="K179" s="17">
        <v>3728133326</v>
      </c>
    </row>
    <row r="180" spans="1:11" x14ac:dyDescent="0.3">
      <c r="A180" s="39">
        <v>6</v>
      </c>
      <c r="B180" s="15">
        <v>42907</v>
      </c>
      <c r="C180" s="16">
        <v>6307</v>
      </c>
      <c r="D180" s="17">
        <v>2933</v>
      </c>
      <c r="E180" s="30" t="s">
        <v>15</v>
      </c>
      <c r="F180" s="11" t="s">
        <v>110</v>
      </c>
      <c r="G180" s="20" t="s">
        <v>92</v>
      </c>
      <c r="H180" s="17">
        <f>K180</f>
        <v>500000000000</v>
      </c>
      <c r="I180" s="17"/>
      <c r="J180" s="30" t="s">
        <v>524</v>
      </c>
      <c r="K180" s="17">
        <v>500000000000</v>
      </c>
    </row>
    <row r="181" spans="1:11" x14ac:dyDescent="0.3">
      <c r="A181" s="39">
        <v>6</v>
      </c>
      <c r="B181" s="15">
        <v>42912</v>
      </c>
      <c r="C181" s="16">
        <v>6312</v>
      </c>
      <c r="D181" s="17">
        <v>2944</v>
      </c>
      <c r="E181" s="30" t="s">
        <v>15</v>
      </c>
      <c r="F181" s="10" t="s">
        <v>37</v>
      </c>
      <c r="G181" s="30" t="s">
        <v>177</v>
      </c>
      <c r="H181" s="30" t="s">
        <v>177</v>
      </c>
      <c r="I181" s="29">
        <v>9446124584</v>
      </c>
      <c r="J181" s="30"/>
      <c r="K181" s="17">
        <v>177889915013</v>
      </c>
    </row>
    <row r="182" spans="1:11" x14ac:dyDescent="0.3">
      <c r="A182" s="39">
        <v>6</v>
      </c>
      <c r="B182" s="15">
        <v>42913</v>
      </c>
      <c r="C182" s="16">
        <v>41181</v>
      </c>
      <c r="D182" s="17">
        <v>2947</v>
      </c>
      <c r="E182" s="30" t="s">
        <v>15</v>
      </c>
      <c r="F182" s="10" t="s">
        <v>14</v>
      </c>
      <c r="G182" s="30" t="s">
        <v>177</v>
      </c>
      <c r="H182" s="30" t="s">
        <v>177</v>
      </c>
      <c r="I182" s="30" t="s">
        <v>177</v>
      </c>
      <c r="J182" s="17">
        <f>K182</f>
        <v>2728305832</v>
      </c>
      <c r="K182" s="17">
        <v>2728305832</v>
      </c>
    </row>
    <row r="183" spans="1:11" x14ac:dyDescent="0.3">
      <c r="A183" s="39">
        <v>6</v>
      </c>
      <c r="B183" s="15">
        <v>42913</v>
      </c>
      <c r="C183" s="16">
        <v>41181</v>
      </c>
      <c r="D183" s="17">
        <v>2948</v>
      </c>
      <c r="E183" s="30" t="s">
        <v>15</v>
      </c>
      <c r="F183" s="10" t="s">
        <v>14</v>
      </c>
      <c r="G183" s="30" t="s">
        <v>177</v>
      </c>
      <c r="H183" s="30" t="s">
        <v>177</v>
      </c>
      <c r="I183" s="30" t="s">
        <v>177</v>
      </c>
      <c r="J183" s="17">
        <f>K183</f>
        <v>700000000</v>
      </c>
      <c r="K183" s="17">
        <v>700000000</v>
      </c>
    </row>
    <row r="184" spans="1:11" x14ac:dyDescent="0.3">
      <c r="A184" s="39">
        <v>6</v>
      </c>
      <c r="B184" s="15">
        <v>42913</v>
      </c>
      <c r="C184" s="16">
        <v>41181</v>
      </c>
      <c r="D184" s="17">
        <v>2949</v>
      </c>
      <c r="E184" s="30" t="s">
        <v>15</v>
      </c>
      <c r="F184" s="10" t="s">
        <v>14</v>
      </c>
      <c r="G184" s="30" t="s">
        <v>177</v>
      </c>
      <c r="H184" s="30" t="s">
        <v>177</v>
      </c>
      <c r="I184" s="30" t="s">
        <v>177</v>
      </c>
      <c r="J184" s="17">
        <f>K184</f>
        <v>487181371</v>
      </c>
      <c r="K184" s="17">
        <v>487181371</v>
      </c>
    </row>
    <row r="185" spans="1:11" ht="27.6" x14ac:dyDescent="0.3">
      <c r="A185" s="143">
        <v>7</v>
      </c>
      <c r="B185" s="140">
        <v>42920</v>
      </c>
      <c r="C185" s="144">
        <v>41186</v>
      </c>
      <c r="D185" s="127">
        <v>2951</v>
      </c>
      <c r="E185" s="125" t="s">
        <v>15</v>
      </c>
      <c r="F185" s="152" t="s">
        <v>20</v>
      </c>
      <c r="G185" s="20" t="s">
        <v>93</v>
      </c>
      <c r="H185" s="17">
        <v>225248600</v>
      </c>
      <c r="I185" s="30" t="s">
        <v>177</v>
      </c>
      <c r="J185" s="30" t="s">
        <v>177</v>
      </c>
      <c r="K185" s="127">
        <v>1222798600</v>
      </c>
    </row>
    <row r="186" spans="1:11" x14ac:dyDescent="0.3">
      <c r="A186" s="143"/>
      <c r="B186" s="140"/>
      <c r="C186" s="144"/>
      <c r="D186" s="127"/>
      <c r="E186" s="125"/>
      <c r="F186" s="152"/>
      <c r="G186" s="22" t="s">
        <v>94</v>
      </c>
      <c r="H186" s="23">
        <v>997550000</v>
      </c>
      <c r="I186" s="30" t="s">
        <v>177</v>
      </c>
      <c r="J186" s="30" t="s">
        <v>177</v>
      </c>
      <c r="K186" s="127"/>
    </row>
    <row r="187" spans="1:11" ht="27.6" x14ac:dyDescent="0.3">
      <c r="A187" s="39">
        <v>7</v>
      </c>
      <c r="B187" s="15">
        <v>42920</v>
      </c>
      <c r="C187" s="16">
        <v>41186</v>
      </c>
      <c r="D187" s="17">
        <v>2952</v>
      </c>
      <c r="E187" s="30" t="s">
        <v>15</v>
      </c>
      <c r="F187" s="11" t="s">
        <v>20</v>
      </c>
      <c r="G187" s="30" t="s">
        <v>177</v>
      </c>
      <c r="H187" s="30" t="s">
        <v>177</v>
      </c>
      <c r="I187" s="30" t="s">
        <v>177</v>
      </c>
      <c r="J187" s="17">
        <f>K187</f>
        <v>104518000</v>
      </c>
      <c r="K187" s="17">
        <v>104518000</v>
      </c>
    </row>
    <row r="188" spans="1:11" ht="41.4" x14ac:dyDescent="0.3">
      <c r="A188" s="39">
        <v>7</v>
      </c>
      <c r="B188" s="15">
        <v>42920</v>
      </c>
      <c r="C188" s="16">
        <v>41186</v>
      </c>
      <c r="D188" s="17">
        <v>2953</v>
      </c>
      <c r="E188" s="30" t="s">
        <v>15</v>
      </c>
      <c r="F188" s="11" t="s">
        <v>88</v>
      </c>
      <c r="G188" s="30" t="s">
        <v>177</v>
      </c>
      <c r="H188" s="30" t="s">
        <v>177</v>
      </c>
      <c r="I188" s="30" t="s">
        <v>177</v>
      </c>
      <c r="J188" s="17">
        <f>K188</f>
        <v>4454793000</v>
      </c>
      <c r="K188" s="17">
        <v>4454793000</v>
      </c>
    </row>
    <row r="189" spans="1:11" ht="41.4" x14ac:dyDescent="0.3">
      <c r="A189" s="39">
        <v>7</v>
      </c>
      <c r="B189" s="15">
        <v>42920</v>
      </c>
      <c r="C189" s="16">
        <v>41186</v>
      </c>
      <c r="D189" s="17">
        <v>2954</v>
      </c>
      <c r="E189" s="30" t="s">
        <v>15</v>
      </c>
      <c r="F189" s="11" t="s">
        <v>88</v>
      </c>
      <c r="G189" s="30" t="s">
        <v>177</v>
      </c>
      <c r="H189" s="30" t="s">
        <v>177</v>
      </c>
      <c r="I189" s="30" t="s">
        <v>177</v>
      </c>
      <c r="J189" s="17">
        <f>K189</f>
        <v>3480000000</v>
      </c>
      <c r="K189" s="17">
        <v>3480000000</v>
      </c>
    </row>
    <row r="190" spans="1:11" ht="41.4" x14ac:dyDescent="0.3">
      <c r="A190" s="39">
        <v>7</v>
      </c>
      <c r="B190" s="15">
        <v>42920</v>
      </c>
      <c r="C190" s="16">
        <v>41186</v>
      </c>
      <c r="D190" s="17">
        <v>2955</v>
      </c>
      <c r="E190" s="30" t="s">
        <v>15</v>
      </c>
      <c r="F190" s="11" t="s">
        <v>88</v>
      </c>
      <c r="G190" s="30" t="s">
        <v>177</v>
      </c>
      <c r="H190" s="30" t="s">
        <v>177</v>
      </c>
      <c r="I190" s="30" t="s">
        <v>177</v>
      </c>
      <c r="J190" s="17">
        <f>K190</f>
        <v>2910000000</v>
      </c>
      <c r="K190" s="17">
        <v>2910000000</v>
      </c>
    </row>
    <row r="191" spans="1:11" ht="41.4" x14ac:dyDescent="0.3">
      <c r="A191" s="39">
        <v>7</v>
      </c>
      <c r="B191" s="15">
        <v>42920</v>
      </c>
      <c r="C191" s="16">
        <v>41186</v>
      </c>
      <c r="D191" s="17">
        <v>2956</v>
      </c>
      <c r="E191" s="30" t="s">
        <v>15</v>
      </c>
      <c r="F191" s="11" t="s">
        <v>88</v>
      </c>
      <c r="G191" s="30" t="s">
        <v>177</v>
      </c>
      <c r="H191" s="30" t="s">
        <v>177</v>
      </c>
      <c r="I191" s="30" t="s">
        <v>177</v>
      </c>
      <c r="J191" s="17">
        <f>K191</f>
        <v>1900000000</v>
      </c>
      <c r="K191" s="17">
        <v>1900000000</v>
      </c>
    </row>
    <row r="192" spans="1:11" x14ac:dyDescent="0.3">
      <c r="A192" s="39">
        <v>7</v>
      </c>
      <c r="B192" s="15">
        <v>42920</v>
      </c>
      <c r="C192" s="16">
        <v>41186</v>
      </c>
      <c r="D192" s="17">
        <v>2959</v>
      </c>
      <c r="E192" s="30" t="s">
        <v>15</v>
      </c>
      <c r="F192" s="11" t="s">
        <v>7</v>
      </c>
      <c r="G192" s="20" t="s">
        <v>12</v>
      </c>
      <c r="H192" s="17">
        <f>K192</f>
        <v>10812533759</v>
      </c>
      <c r="I192" s="30" t="s">
        <v>177</v>
      </c>
      <c r="J192" s="30" t="s">
        <v>177</v>
      </c>
      <c r="K192" s="17">
        <v>10812533759</v>
      </c>
    </row>
    <row r="193" spans="1:11" ht="27.6" x14ac:dyDescent="0.3">
      <c r="A193" s="39">
        <v>7</v>
      </c>
      <c r="B193" s="15">
        <v>42920</v>
      </c>
      <c r="C193" s="16">
        <v>41186</v>
      </c>
      <c r="D193" s="17">
        <v>2975</v>
      </c>
      <c r="E193" s="30" t="s">
        <v>15</v>
      </c>
      <c r="F193" s="11" t="s">
        <v>14</v>
      </c>
      <c r="G193" s="20" t="s">
        <v>95</v>
      </c>
      <c r="H193" s="17">
        <f>K193</f>
        <v>3000000000</v>
      </c>
      <c r="I193" s="30" t="s">
        <v>177</v>
      </c>
      <c r="J193" s="30" t="s">
        <v>177</v>
      </c>
      <c r="K193" s="17">
        <v>3000000000</v>
      </c>
    </row>
    <row r="194" spans="1:11" ht="27.6" x14ac:dyDescent="0.3">
      <c r="A194" s="39">
        <v>7</v>
      </c>
      <c r="B194" s="15">
        <v>42922</v>
      </c>
      <c r="C194" s="16">
        <v>6314</v>
      </c>
      <c r="D194" s="17">
        <v>2977</v>
      </c>
      <c r="E194" s="30" t="s">
        <v>15</v>
      </c>
      <c r="F194" s="11" t="s">
        <v>41</v>
      </c>
      <c r="G194" s="20" t="s">
        <v>35</v>
      </c>
      <c r="H194" s="30" t="s">
        <v>177</v>
      </c>
      <c r="I194" s="30" t="s">
        <v>177</v>
      </c>
      <c r="J194" s="30" t="s">
        <v>177</v>
      </c>
      <c r="K194" s="17">
        <v>121068569282</v>
      </c>
    </row>
    <row r="195" spans="1:11" x14ac:dyDescent="0.3">
      <c r="A195" s="143">
        <v>7</v>
      </c>
      <c r="B195" s="140">
        <v>42927</v>
      </c>
      <c r="C195" s="144">
        <v>6315</v>
      </c>
      <c r="D195" s="127">
        <v>2983</v>
      </c>
      <c r="E195" s="125" t="s">
        <v>15</v>
      </c>
      <c r="F195" s="19" t="s">
        <v>36</v>
      </c>
      <c r="G195" s="30" t="s">
        <v>177</v>
      </c>
      <c r="H195" s="34">
        <v>957387805</v>
      </c>
      <c r="I195" s="29">
        <v>582832839</v>
      </c>
      <c r="J195" s="127" t="s">
        <v>177</v>
      </c>
      <c r="K195" s="127">
        <v>3407377387700</v>
      </c>
    </row>
    <row r="196" spans="1:11" x14ac:dyDescent="0.3">
      <c r="A196" s="143"/>
      <c r="B196" s="140"/>
      <c r="C196" s="144"/>
      <c r="D196" s="127"/>
      <c r="E196" s="125"/>
      <c r="F196" s="19" t="s">
        <v>37</v>
      </c>
      <c r="G196" s="30" t="s">
        <v>177</v>
      </c>
      <c r="H196" s="34">
        <v>13221017013</v>
      </c>
      <c r="I196" s="29">
        <v>10238998070</v>
      </c>
      <c r="J196" s="127"/>
      <c r="K196" s="127"/>
    </row>
    <row r="197" spans="1:11" ht="27.6" x14ac:dyDescent="0.3">
      <c r="A197" s="143"/>
      <c r="B197" s="140"/>
      <c r="C197" s="144"/>
      <c r="D197" s="127"/>
      <c r="E197" s="125"/>
      <c r="F197" s="19" t="s">
        <v>97</v>
      </c>
      <c r="G197" s="30" t="s">
        <v>177</v>
      </c>
      <c r="H197" s="34">
        <v>3830349778</v>
      </c>
      <c r="I197" s="29">
        <v>3359571372</v>
      </c>
      <c r="J197" s="127"/>
      <c r="K197" s="127"/>
    </row>
    <row r="198" spans="1:11" x14ac:dyDescent="0.3">
      <c r="A198" s="143"/>
      <c r="B198" s="140"/>
      <c r="C198" s="144"/>
      <c r="D198" s="127"/>
      <c r="E198" s="125"/>
      <c r="F198" s="19" t="s">
        <v>24</v>
      </c>
      <c r="G198" s="30" t="s">
        <v>177</v>
      </c>
      <c r="H198" s="34">
        <v>265230478801</v>
      </c>
      <c r="I198" s="29">
        <v>168599387192</v>
      </c>
      <c r="J198" s="127"/>
      <c r="K198" s="127"/>
    </row>
    <row r="199" spans="1:11" x14ac:dyDescent="0.3">
      <c r="A199" s="143"/>
      <c r="B199" s="140"/>
      <c r="C199" s="144"/>
      <c r="D199" s="127"/>
      <c r="E199" s="125"/>
      <c r="F199" s="19" t="s">
        <v>25</v>
      </c>
      <c r="G199" s="30" t="s">
        <v>177</v>
      </c>
      <c r="H199" s="34">
        <v>1091799667696</v>
      </c>
      <c r="I199" s="29">
        <v>779448987839</v>
      </c>
      <c r="J199" s="127"/>
      <c r="K199" s="127"/>
    </row>
    <row r="200" spans="1:11" ht="27.6" x14ac:dyDescent="0.3">
      <c r="A200" s="143"/>
      <c r="B200" s="140"/>
      <c r="C200" s="144"/>
      <c r="D200" s="127"/>
      <c r="E200" s="125"/>
      <c r="F200" s="19" t="s">
        <v>38</v>
      </c>
      <c r="G200" s="30" t="s">
        <v>177</v>
      </c>
      <c r="H200" s="34">
        <v>555875399583</v>
      </c>
      <c r="I200" s="29">
        <v>3059899372</v>
      </c>
      <c r="J200" s="127"/>
      <c r="K200" s="127"/>
    </row>
    <row r="201" spans="1:11" x14ac:dyDescent="0.3">
      <c r="A201" s="143"/>
      <c r="B201" s="140"/>
      <c r="C201" s="144"/>
      <c r="D201" s="127"/>
      <c r="E201" s="125"/>
      <c r="F201" s="19" t="s">
        <v>39</v>
      </c>
      <c r="G201" s="30" t="s">
        <v>177</v>
      </c>
      <c r="H201" s="34">
        <v>36489239917</v>
      </c>
      <c r="I201" s="29">
        <v>43274802328</v>
      </c>
      <c r="J201" s="127"/>
      <c r="K201" s="127"/>
    </row>
    <row r="202" spans="1:11" x14ac:dyDescent="0.3">
      <c r="A202" s="143"/>
      <c r="B202" s="140"/>
      <c r="C202" s="144"/>
      <c r="D202" s="127"/>
      <c r="E202" s="125"/>
      <c r="F202" s="19" t="s">
        <v>40</v>
      </c>
      <c r="G202" s="30" t="s">
        <v>177</v>
      </c>
      <c r="H202" s="34">
        <v>18429206230</v>
      </c>
      <c r="I202" s="17"/>
      <c r="J202" s="127"/>
      <c r="K202" s="127"/>
    </row>
    <row r="203" spans="1:11" x14ac:dyDescent="0.3">
      <c r="A203" s="143"/>
      <c r="B203" s="140"/>
      <c r="C203" s="144"/>
      <c r="D203" s="127"/>
      <c r="E203" s="125"/>
      <c r="F203" s="19" t="s">
        <v>26</v>
      </c>
      <c r="G203" s="30" t="s">
        <v>177</v>
      </c>
      <c r="H203" s="34">
        <v>4544969527</v>
      </c>
      <c r="I203" s="29">
        <v>662386324</v>
      </c>
      <c r="J203" s="127"/>
      <c r="K203" s="127"/>
    </row>
    <row r="204" spans="1:11" ht="27.6" x14ac:dyDescent="0.3">
      <c r="A204" s="143"/>
      <c r="B204" s="140"/>
      <c r="C204" s="144"/>
      <c r="D204" s="127"/>
      <c r="E204" s="125"/>
      <c r="F204" s="19" t="s">
        <v>41</v>
      </c>
      <c r="G204" s="30" t="s">
        <v>177</v>
      </c>
      <c r="H204" s="34">
        <v>66005674070</v>
      </c>
      <c r="I204" s="29">
        <v>42561947037</v>
      </c>
      <c r="J204" s="127"/>
      <c r="K204" s="127"/>
    </row>
    <row r="205" spans="1:11" x14ac:dyDescent="0.3">
      <c r="A205" s="143"/>
      <c r="B205" s="140"/>
      <c r="C205" s="144"/>
      <c r="D205" s="127"/>
      <c r="E205" s="125"/>
      <c r="F205" s="19" t="s">
        <v>42</v>
      </c>
      <c r="G205" s="30" t="s">
        <v>177</v>
      </c>
      <c r="H205" s="34">
        <v>578017836</v>
      </c>
      <c r="I205" s="29">
        <v>526584578</v>
      </c>
      <c r="J205" s="127"/>
      <c r="K205" s="127"/>
    </row>
    <row r="206" spans="1:11" x14ac:dyDescent="0.3">
      <c r="A206" s="143"/>
      <c r="B206" s="140"/>
      <c r="C206" s="144"/>
      <c r="D206" s="127"/>
      <c r="E206" s="125"/>
      <c r="F206" s="19" t="s">
        <v>28</v>
      </c>
      <c r="G206" s="30" t="s">
        <v>177</v>
      </c>
      <c r="H206" s="34">
        <v>11817109474</v>
      </c>
      <c r="I206" s="29">
        <v>9557350249</v>
      </c>
      <c r="J206" s="127"/>
      <c r="K206" s="127"/>
    </row>
    <row r="207" spans="1:11" ht="27.6" x14ac:dyDescent="0.3">
      <c r="A207" s="143"/>
      <c r="B207" s="140"/>
      <c r="C207" s="144"/>
      <c r="D207" s="127"/>
      <c r="E207" s="125"/>
      <c r="F207" s="19" t="s">
        <v>98</v>
      </c>
      <c r="G207" s="30" t="s">
        <v>177</v>
      </c>
      <c r="H207" s="34">
        <v>18107198715</v>
      </c>
      <c r="I207" s="29">
        <v>2858895291</v>
      </c>
      <c r="J207" s="127"/>
      <c r="K207" s="127"/>
    </row>
    <row r="208" spans="1:11" ht="27.6" x14ac:dyDescent="0.3">
      <c r="A208" s="143"/>
      <c r="B208" s="140"/>
      <c r="C208" s="144"/>
      <c r="D208" s="127"/>
      <c r="E208" s="125"/>
      <c r="F208" s="19" t="s">
        <v>43</v>
      </c>
      <c r="G208" s="30" t="s">
        <v>177</v>
      </c>
      <c r="H208" s="34">
        <v>11442896152</v>
      </c>
      <c r="I208" s="24">
        <f>708998356</f>
        <v>708998356</v>
      </c>
      <c r="J208" s="127"/>
      <c r="K208" s="127"/>
    </row>
    <row r="209" spans="1:11" ht="27.6" x14ac:dyDescent="0.3">
      <c r="A209" s="143"/>
      <c r="B209" s="140"/>
      <c r="C209" s="144"/>
      <c r="D209" s="127"/>
      <c r="E209" s="125"/>
      <c r="F209" s="19" t="s">
        <v>99</v>
      </c>
      <c r="G209" s="30" t="s">
        <v>177</v>
      </c>
      <c r="H209" s="34">
        <v>19233744560</v>
      </c>
      <c r="I209" s="24">
        <f>896746215+109445251+225252604+51885102</f>
        <v>1283329172</v>
      </c>
      <c r="J209" s="127"/>
      <c r="K209" s="127"/>
    </row>
    <row r="210" spans="1:11" x14ac:dyDescent="0.3">
      <c r="A210" s="143"/>
      <c r="B210" s="140"/>
      <c r="C210" s="144"/>
      <c r="D210" s="127"/>
      <c r="E210" s="125"/>
      <c r="F210" s="19" t="s">
        <v>90</v>
      </c>
      <c r="G210" s="30" t="s">
        <v>177</v>
      </c>
      <c r="H210" s="34">
        <v>26260132</v>
      </c>
      <c r="I210" s="24">
        <f>15430540+47167+10497958</f>
        <v>25975665</v>
      </c>
      <c r="J210" s="127"/>
      <c r="K210" s="127"/>
    </row>
    <row r="211" spans="1:11" x14ac:dyDescent="0.3">
      <c r="A211" s="143"/>
      <c r="B211" s="140"/>
      <c r="C211" s="144"/>
      <c r="D211" s="127"/>
      <c r="E211" s="125"/>
      <c r="F211" s="19" t="s">
        <v>44</v>
      </c>
      <c r="G211" s="30" t="s">
        <v>177</v>
      </c>
      <c r="H211" s="34">
        <v>307287564</v>
      </c>
      <c r="I211" s="24">
        <f>142124145+13086313+9938469+16943720+12989017+10855231</f>
        <v>205936895</v>
      </c>
      <c r="J211" s="127"/>
      <c r="K211" s="127"/>
    </row>
    <row r="212" spans="1:11" x14ac:dyDescent="0.3">
      <c r="A212" s="143"/>
      <c r="B212" s="140"/>
      <c r="C212" s="144"/>
      <c r="D212" s="127"/>
      <c r="E212" s="125"/>
      <c r="F212" s="19" t="s">
        <v>100</v>
      </c>
      <c r="G212" s="30" t="s">
        <v>177</v>
      </c>
      <c r="H212" s="34">
        <v>11016537769</v>
      </c>
      <c r="I212" s="24">
        <f>56005073</f>
        <v>56005073</v>
      </c>
      <c r="J212" s="127"/>
      <c r="K212" s="127"/>
    </row>
    <row r="213" spans="1:11" x14ac:dyDescent="0.3">
      <c r="A213" s="143"/>
      <c r="B213" s="140"/>
      <c r="C213" s="144"/>
      <c r="D213" s="127"/>
      <c r="E213" s="125"/>
      <c r="F213" s="19" t="s">
        <v>45</v>
      </c>
      <c r="G213" s="30" t="s">
        <v>177</v>
      </c>
      <c r="H213" s="34">
        <v>3380237366</v>
      </c>
      <c r="I213" s="24">
        <f>1020374621</f>
        <v>1020374621</v>
      </c>
      <c r="J213" s="127"/>
      <c r="K213" s="127"/>
    </row>
    <row r="214" spans="1:11" x14ac:dyDescent="0.3">
      <c r="A214" s="143"/>
      <c r="B214" s="140"/>
      <c r="C214" s="144"/>
      <c r="D214" s="127"/>
      <c r="E214" s="125"/>
      <c r="F214" s="19" t="s">
        <v>580</v>
      </c>
      <c r="G214" s="30" t="s">
        <v>177</v>
      </c>
      <c r="H214" s="34">
        <v>16367913196</v>
      </c>
      <c r="I214" s="24">
        <f>12061338752</f>
        <v>12061338752</v>
      </c>
      <c r="J214" s="127"/>
      <c r="K214" s="127"/>
    </row>
    <row r="215" spans="1:11" x14ac:dyDescent="0.3">
      <c r="A215" s="143"/>
      <c r="B215" s="140"/>
      <c r="C215" s="144"/>
      <c r="D215" s="127"/>
      <c r="E215" s="125"/>
      <c r="F215" s="19" t="s">
        <v>101</v>
      </c>
      <c r="G215" s="30" t="s">
        <v>177</v>
      </c>
      <c r="H215" s="34">
        <v>4697404879</v>
      </c>
      <c r="I215" s="24">
        <f>872873415</f>
        <v>872873415</v>
      </c>
      <c r="J215" s="127"/>
      <c r="K215" s="127"/>
    </row>
    <row r="216" spans="1:11" ht="27.6" x14ac:dyDescent="0.3">
      <c r="A216" s="143"/>
      <c r="B216" s="140"/>
      <c r="C216" s="144"/>
      <c r="D216" s="127"/>
      <c r="E216" s="125"/>
      <c r="F216" s="19" t="s">
        <v>102</v>
      </c>
      <c r="G216" s="30" t="s">
        <v>177</v>
      </c>
      <c r="H216" s="34">
        <v>296983848</v>
      </c>
      <c r="I216" s="29">
        <v>200983848</v>
      </c>
      <c r="J216" s="127"/>
      <c r="K216" s="127"/>
    </row>
    <row r="217" spans="1:11" x14ac:dyDescent="0.3">
      <c r="A217" s="143"/>
      <c r="B217" s="140"/>
      <c r="C217" s="144"/>
      <c r="D217" s="127"/>
      <c r="E217" s="125"/>
      <c r="F217" s="19" t="s">
        <v>104</v>
      </c>
      <c r="G217" s="30" t="s">
        <v>177</v>
      </c>
      <c r="H217" s="34">
        <v>308844213918</v>
      </c>
      <c r="I217" s="29">
        <v>93476689597</v>
      </c>
      <c r="J217" s="127"/>
      <c r="K217" s="127"/>
    </row>
    <row r="218" spans="1:11" ht="27.6" x14ac:dyDescent="0.3">
      <c r="A218" s="143"/>
      <c r="B218" s="140"/>
      <c r="C218" s="144"/>
      <c r="D218" s="127"/>
      <c r="E218" s="125"/>
      <c r="F218" s="19" t="s">
        <v>103</v>
      </c>
      <c r="G218" s="30" t="s">
        <v>177</v>
      </c>
      <c r="H218" s="34">
        <v>12111942747</v>
      </c>
      <c r="I218" s="29">
        <v>3647079928</v>
      </c>
      <c r="J218" s="127"/>
      <c r="K218" s="127"/>
    </row>
    <row r="219" spans="1:11" ht="27.6" x14ac:dyDescent="0.3">
      <c r="A219" s="143"/>
      <c r="B219" s="140"/>
      <c r="C219" s="144"/>
      <c r="D219" s="127"/>
      <c r="E219" s="125"/>
      <c r="F219" s="19" t="s">
        <v>105</v>
      </c>
      <c r="G219" s="30" t="s">
        <v>177</v>
      </c>
      <c r="H219" s="34">
        <v>2825961791</v>
      </c>
      <c r="I219" s="17"/>
      <c r="J219" s="127"/>
      <c r="K219" s="127"/>
    </row>
    <row r="220" spans="1:11" x14ac:dyDescent="0.3">
      <c r="A220" s="143"/>
      <c r="B220" s="140"/>
      <c r="C220" s="144"/>
      <c r="D220" s="127"/>
      <c r="E220" s="125"/>
      <c r="F220" s="19" t="s">
        <v>106</v>
      </c>
      <c r="G220" s="30" t="s">
        <v>177</v>
      </c>
      <c r="H220" s="34">
        <v>47615640421</v>
      </c>
      <c r="I220" s="29">
        <v>635015020</v>
      </c>
      <c r="J220" s="127"/>
      <c r="K220" s="127"/>
    </row>
    <row r="221" spans="1:11" x14ac:dyDescent="0.3">
      <c r="A221" s="143"/>
      <c r="B221" s="140"/>
      <c r="C221" s="144"/>
      <c r="D221" s="127"/>
      <c r="E221" s="125"/>
      <c r="F221" s="19" t="s">
        <v>7</v>
      </c>
      <c r="G221" s="30" t="s">
        <v>177</v>
      </c>
      <c r="H221" s="34">
        <v>390871492</v>
      </c>
      <c r="I221" s="29">
        <v>5348766</v>
      </c>
      <c r="J221" s="127"/>
      <c r="K221" s="127"/>
    </row>
    <row r="222" spans="1:11" ht="27.6" x14ac:dyDescent="0.3">
      <c r="A222" s="143"/>
      <c r="B222" s="140"/>
      <c r="C222" s="144"/>
      <c r="D222" s="127"/>
      <c r="E222" s="125"/>
      <c r="F222" s="19" t="s">
        <v>31</v>
      </c>
      <c r="G222" s="30" t="s">
        <v>177</v>
      </c>
      <c r="H222" s="34">
        <v>41477616459</v>
      </c>
      <c r="I222" s="29">
        <v>23809042119</v>
      </c>
      <c r="J222" s="127"/>
      <c r="K222" s="127"/>
    </row>
    <row r="223" spans="1:11" x14ac:dyDescent="0.3">
      <c r="A223" s="143"/>
      <c r="B223" s="140"/>
      <c r="C223" s="144"/>
      <c r="D223" s="127"/>
      <c r="E223" s="125"/>
      <c r="F223" s="19" t="s">
        <v>48</v>
      </c>
      <c r="G223" s="30" t="s">
        <v>177</v>
      </c>
      <c r="H223" s="34">
        <v>12340776398</v>
      </c>
      <c r="I223" s="29">
        <v>5818340760</v>
      </c>
      <c r="J223" s="127"/>
      <c r="K223" s="127"/>
    </row>
    <row r="224" spans="1:11" x14ac:dyDescent="0.3">
      <c r="A224" s="143"/>
      <c r="B224" s="140"/>
      <c r="C224" s="144"/>
      <c r="D224" s="127"/>
      <c r="E224" s="125"/>
      <c r="F224" s="19" t="s">
        <v>49</v>
      </c>
      <c r="G224" s="30" t="s">
        <v>177</v>
      </c>
      <c r="H224" s="34">
        <v>6690321155</v>
      </c>
      <c r="I224" s="29">
        <v>485425332</v>
      </c>
      <c r="J224" s="127"/>
      <c r="K224" s="127"/>
    </row>
    <row r="225" spans="1:11" ht="27.6" x14ac:dyDescent="0.3">
      <c r="A225" s="143"/>
      <c r="B225" s="140"/>
      <c r="C225" s="144"/>
      <c r="D225" s="127"/>
      <c r="E225" s="125"/>
      <c r="F225" s="19" t="s">
        <v>33</v>
      </c>
      <c r="G225" s="30" t="s">
        <v>177</v>
      </c>
      <c r="H225" s="34">
        <v>587318577110</v>
      </c>
      <c r="I225" s="29">
        <v>4711440395</v>
      </c>
      <c r="J225" s="127"/>
      <c r="K225" s="127"/>
    </row>
    <row r="226" spans="1:11" x14ac:dyDescent="0.3">
      <c r="A226" s="143"/>
      <c r="B226" s="140"/>
      <c r="C226" s="144"/>
      <c r="D226" s="127"/>
      <c r="E226" s="125"/>
      <c r="F226" s="19" t="s">
        <v>107</v>
      </c>
      <c r="G226" s="30" t="s">
        <v>177</v>
      </c>
      <c r="H226" s="34">
        <v>8934625012</v>
      </c>
      <c r="I226" s="17"/>
      <c r="J226" s="127"/>
      <c r="K226" s="127"/>
    </row>
    <row r="227" spans="1:11" ht="27.6" x14ac:dyDescent="0.3">
      <c r="A227" s="143"/>
      <c r="B227" s="140"/>
      <c r="C227" s="144"/>
      <c r="D227" s="127"/>
      <c r="E227" s="125"/>
      <c r="F227" s="19" t="s">
        <v>108</v>
      </c>
      <c r="G227" s="30" t="s">
        <v>177</v>
      </c>
      <c r="H227" s="34">
        <v>8934625012</v>
      </c>
      <c r="I227" s="29">
        <v>1818779723</v>
      </c>
      <c r="J227" s="127"/>
      <c r="K227" s="127"/>
    </row>
    <row r="228" spans="1:11" ht="27.6" x14ac:dyDescent="0.3">
      <c r="A228" s="143"/>
      <c r="B228" s="140"/>
      <c r="C228" s="144"/>
      <c r="D228" s="127"/>
      <c r="E228" s="125"/>
      <c r="F228" s="19" t="s">
        <v>109</v>
      </c>
      <c r="G228" s="30" t="s">
        <v>177</v>
      </c>
      <c r="H228" s="34">
        <v>30359765485</v>
      </c>
      <c r="I228" s="29">
        <v>5470091730</v>
      </c>
      <c r="J228" s="127"/>
      <c r="K228" s="127"/>
    </row>
    <row r="229" spans="1:11" x14ac:dyDescent="0.3">
      <c r="A229" s="143"/>
      <c r="B229" s="140"/>
      <c r="C229" s="144"/>
      <c r="D229" s="127"/>
      <c r="E229" s="125"/>
      <c r="F229" s="19" t="s">
        <v>110</v>
      </c>
      <c r="G229" s="30" t="s">
        <v>177</v>
      </c>
      <c r="H229" s="34">
        <v>5733963922</v>
      </c>
      <c r="I229" s="29">
        <v>2597960120</v>
      </c>
      <c r="J229" s="127"/>
      <c r="K229" s="127"/>
    </row>
    <row r="230" spans="1:11" ht="27.6" x14ac:dyDescent="0.3">
      <c r="A230" s="143"/>
      <c r="B230" s="140"/>
      <c r="C230" s="144"/>
      <c r="D230" s="127"/>
      <c r="E230" s="125"/>
      <c r="F230" s="19" t="s">
        <v>52</v>
      </c>
      <c r="G230" s="30" t="s">
        <v>177</v>
      </c>
      <c r="H230" s="34">
        <v>3264211357</v>
      </c>
      <c r="I230" s="24">
        <f>514373107</f>
        <v>514373107</v>
      </c>
      <c r="J230" s="127"/>
      <c r="K230" s="127"/>
    </row>
    <row r="231" spans="1:11" x14ac:dyDescent="0.3">
      <c r="A231" s="143"/>
      <c r="B231" s="140"/>
      <c r="C231" s="144"/>
      <c r="D231" s="127"/>
      <c r="E231" s="125"/>
      <c r="F231" s="19" t="s">
        <v>53</v>
      </c>
      <c r="G231" s="30" t="s">
        <v>177</v>
      </c>
      <c r="H231" s="34">
        <v>1995065497</v>
      </c>
      <c r="I231" s="24">
        <f>118539022</f>
        <v>118539022</v>
      </c>
      <c r="J231" s="127"/>
      <c r="K231" s="127"/>
    </row>
    <row r="232" spans="1:11" ht="27.6" x14ac:dyDescent="0.3">
      <c r="A232" s="143"/>
      <c r="B232" s="140"/>
      <c r="C232" s="144"/>
      <c r="D232" s="127"/>
      <c r="E232" s="125"/>
      <c r="F232" s="19" t="s">
        <v>55</v>
      </c>
      <c r="G232" s="30" t="s">
        <v>177</v>
      </c>
      <c r="H232" s="34">
        <v>31792573531</v>
      </c>
      <c r="I232" s="17"/>
      <c r="J232" s="127"/>
      <c r="K232" s="127"/>
    </row>
    <row r="233" spans="1:11" ht="27.6" x14ac:dyDescent="0.3">
      <c r="A233" s="143"/>
      <c r="B233" s="140"/>
      <c r="C233" s="144"/>
      <c r="D233" s="127"/>
      <c r="E233" s="125"/>
      <c r="F233" s="19" t="s">
        <v>34</v>
      </c>
      <c r="G233" s="30" t="s">
        <v>177</v>
      </c>
      <c r="H233" s="34">
        <v>11645877537</v>
      </c>
      <c r="I233" s="29">
        <v>292200000</v>
      </c>
      <c r="J233" s="127"/>
      <c r="K233" s="127"/>
    </row>
    <row r="234" spans="1:11" x14ac:dyDescent="0.3">
      <c r="A234" s="143"/>
      <c r="B234" s="140"/>
      <c r="C234" s="144"/>
      <c r="D234" s="127"/>
      <c r="E234" s="125"/>
      <c r="F234" s="19" t="s">
        <v>91</v>
      </c>
      <c r="G234" s="30" t="s">
        <v>177</v>
      </c>
      <c r="H234" s="34">
        <v>575130461</v>
      </c>
      <c r="I234" s="29">
        <v>574050460</v>
      </c>
      <c r="J234" s="127"/>
      <c r="K234" s="127"/>
    </row>
    <row r="235" spans="1:11" x14ac:dyDescent="0.3">
      <c r="A235" s="143"/>
      <c r="B235" s="140"/>
      <c r="C235" s="144"/>
      <c r="D235" s="127"/>
      <c r="E235" s="125"/>
      <c r="F235" s="19" t="s">
        <v>56</v>
      </c>
      <c r="G235" s="30" t="s">
        <v>177</v>
      </c>
      <c r="H235" s="34">
        <v>41089057577</v>
      </c>
      <c r="I235" s="24">
        <v>3046506945</v>
      </c>
      <c r="J235" s="127"/>
      <c r="K235" s="127"/>
    </row>
    <row r="236" spans="1:11" x14ac:dyDescent="0.3">
      <c r="A236" s="143"/>
      <c r="B236" s="140"/>
      <c r="C236" s="144"/>
      <c r="D236" s="127"/>
      <c r="E236" s="125"/>
      <c r="F236" s="19" t="s">
        <v>57</v>
      </c>
      <c r="G236" s="30" t="s">
        <v>177</v>
      </c>
      <c r="H236" s="34">
        <v>553044702</v>
      </c>
      <c r="I236" s="17"/>
      <c r="J236" s="127"/>
      <c r="K236" s="127"/>
    </row>
    <row r="237" spans="1:11" x14ac:dyDescent="0.3">
      <c r="A237" s="143"/>
      <c r="B237" s="140"/>
      <c r="C237" s="144"/>
      <c r="D237" s="127"/>
      <c r="E237" s="125"/>
      <c r="F237" s="19" t="s">
        <v>111</v>
      </c>
      <c r="G237" s="30" t="s">
        <v>177</v>
      </c>
      <c r="H237" s="34">
        <v>98163169217</v>
      </c>
      <c r="I237" s="29">
        <v>31356077368</v>
      </c>
      <c r="J237" s="127"/>
      <c r="K237" s="127"/>
    </row>
    <row r="238" spans="1:11" x14ac:dyDescent="0.3">
      <c r="A238" s="39">
        <v>7</v>
      </c>
      <c r="B238" s="15">
        <v>42929</v>
      </c>
      <c r="C238" s="16">
        <v>41192</v>
      </c>
      <c r="D238" s="17">
        <v>2950</v>
      </c>
      <c r="E238" s="30" t="s">
        <v>15</v>
      </c>
      <c r="F238" s="19" t="s">
        <v>45</v>
      </c>
      <c r="G238" s="20" t="s">
        <v>96</v>
      </c>
      <c r="H238" s="17">
        <f>K238</f>
        <v>6268701982</v>
      </c>
      <c r="I238" s="30" t="s">
        <v>177</v>
      </c>
      <c r="J238" s="30" t="s">
        <v>177</v>
      </c>
      <c r="K238" s="18">
        <v>6268701982</v>
      </c>
    </row>
    <row r="239" spans="1:11" ht="27.6" x14ac:dyDescent="0.3">
      <c r="A239" s="143">
        <v>8</v>
      </c>
      <c r="B239" s="140">
        <v>42948</v>
      </c>
      <c r="C239" s="144">
        <v>41204</v>
      </c>
      <c r="D239" s="127">
        <v>3003</v>
      </c>
      <c r="E239" s="125" t="s">
        <v>15</v>
      </c>
      <c r="F239" s="126" t="s">
        <v>14</v>
      </c>
      <c r="G239" s="22" t="s">
        <v>69</v>
      </c>
      <c r="H239" s="29">
        <v>350000000</v>
      </c>
      <c r="I239" s="30" t="s">
        <v>177</v>
      </c>
      <c r="J239" s="30" t="s">
        <v>177</v>
      </c>
      <c r="K239" s="145">
        <v>9115476190</v>
      </c>
    </row>
    <row r="240" spans="1:11" ht="27.6" x14ac:dyDescent="0.3">
      <c r="A240" s="143"/>
      <c r="B240" s="140"/>
      <c r="C240" s="144"/>
      <c r="D240" s="127"/>
      <c r="E240" s="125"/>
      <c r="F240" s="126"/>
      <c r="G240" s="22" t="s">
        <v>68</v>
      </c>
      <c r="H240" s="29">
        <v>260000000</v>
      </c>
      <c r="I240" s="30" t="s">
        <v>177</v>
      </c>
      <c r="J240" s="30" t="s">
        <v>177</v>
      </c>
      <c r="K240" s="146"/>
    </row>
    <row r="241" spans="1:11" x14ac:dyDescent="0.3">
      <c r="A241" s="143"/>
      <c r="B241" s="140"/>
      <c r="C241" s="144"/>
      <c r="D241" s="127"/>
      <c r="E241" s="125"/>
      <c r="F241" s="126"/>
      <c r="G241" s="22" t="s">
        <v>70</v>
      </c>
      <c r="H241" s="29">
        <v>145000000</v>
      </c>
      <c r="I241" s="30" t="s">
        <v>177</v>
      </c>
      <c r="J241" s="30" t="s">
        <v>177</v>
      </c>
      <c r="K241" s="146"/>
    </row>
    <row r="242" spans="1:11" ht="27.6" x14ac:dyDescent="0.3">
      <c r="A242" s="143"/>
      <c r="B242" s="140"/>
      <c r="C242" s="144"/>
      <c r="D242" s="127"/>
      <c r="E242" s="125"/>
      <c r="F242" s="126"/>
      <c r="G242" s="22" t="s">
        <v>95</v>
      </c>
      <c r="H242" s="29">
        <v>315000000</v>
      </c>
      <c r="I242" s="30" t="s">
        <v>177</v>
      </c>
      <c r="J242" s="30" t="s">
        <v>177</v>
      </c>
      <c r="K242" s="146"/>
    </row>
    <row r="243" spans="1:11" x14ac:dyDescent="0.3">
      <c r="A243" s="143"/>
      <c r="B243" s="140"/>
      <c r="C243" s="144"/>
      <c r="D243" s="127"/>
      <c r="E243" s="125"/>
      <c r="F243" s="126"/>
      <c r="G243" s="22" t="s">
        <v>66</v>
      </c>
      <c r="H243" s="29">
        <v>350000000</v>
      </c>
      <c r="I243" s="30" t="s">
        <v>177</v>
      </c>
      <c r="J243" s="30" t="s">
        <v>177</v>
      </c>
      <c r="K243" s="146"/>
    </row>
    <row r="244" spans="1:11" x14ac:dyDescent="0.3">
      <c r="A244" s="143"/>
      <c r="B244" s="140"/>
      <c r="C244" s="144"/>
      <c r="D244" s="127"/>
      <c r="E244" s="125"/>
      <c r="F244" s="126"/>
      <c r="G244" s="22" t="s">
        <v>67</v>
      </c>
      <c r="H244" s="29">
        <v>15000000</v>
      </c>
      <c r="I244" s="30" t="s">
        <v>177</v>
      </c>
      <c r="J244" s="30" t="s">
        <v>177</v>
      </c>
      <c r="K244" s="146"/>
    </row>
    <row r="245" spans="1:11" x14ac:dyDescent="0.3">
      <c r="A245" s="143"/>
      <c r="B245" s="140"/>
      <c r="C245" s="144"/>
      <c r="D245" s="127"/>
      <c r="E245" s="125"/>
      <c r="F245" s="126"/>
      <c r="G245" s="22" t="s">
        <v>65</v>
      </c>
      <c r="H245" s="29">
        <v>205000000</v>
      </c>
      <c r="I245" s="30" t="s">
        <v>177</v>
      </c>
      <c r="J245" s="30" t="s">
        <v>177</v>
      </c>
      <c r="K245" s="146"/>
    </row>
    <row r="246" spans="1:11" x14ac:dyDescent="0.3">
      <c r="A246" s="143"/>
      <c r="B246" s="140"/>
      <c r="C246" s="144"/>
      <c r="D246" s="127"/>
      <c r="E246" s="125"/>
      <c r="F246" s="126"/>
      <c r="G246" s="22" t="s">
        <v>62</v>
      </c>
      <c r="H246" s="29">
        <v>3210476190</v>
      </c>
      <c r="I246" s="30" t="s">
        <v>177</v>
      </c>
      <c r="J246" s="30" t="s">
        <v>177</v>
      </c>
      <c r="K246" s="146"/>
    </row>
    <row r="247" spans="1:11" x14ac:dyDescent="0.3">
      <c r="A247" s="143"/>
      <c r="B247" s="140"/>
      <c r="C247" s="144"/>
      <c r="D247" s="127"/>
      <c r="E247" s="125"/>
      <c r="F247" s="126"/>
      <c r="G247" s="38" t="s">
        <v>63</v>
      </c>
      <c r="H247" s="29">
        <v>20000000</v>
      </c>
      <c r="I247" s="30" t="s">
        <v>177</v>
      </c>
      <c r="J247" s="30" t="s">
        <v>177</v>
      </c>
      <c r="K247" s="146"/>
    </row>
    <row r="248" spans="1:11" x14ac:dyDescent="0.3">
      <c r="A248" s="143"/>
      <c r="B248" s="140"/>
      <c r="C248" s="144"/>
      <c r="D248" s="127"/>
      <c r="E248" s="125"/>
      <c r="F248" s="126"/>
      <c r="G248" s="38" t="s">
        <v>64</v>
      </c>
      <c r="H248" s="29">
        <v>3300000000</v>
      </c>
      <c r="I248" s="30" t="s">
        <v>177</v>
      </c>
      <c r="J248" s="30" t="s">
        <v>177</v>
      </c>
      <c r="K248" s="146"/>
    </row>
    <row r="249" spans="1:11" ht="27.6" x14ac:dyDescent="0.3">
      <c r="A249" s="143"/>
      <c r="B249" s="140"/>
      <c r="C249" s="144"/>
      <c r="D249" s="127"/>
      <c r="E249" s="125"/>
      <c r="F249" s="126"/>
      <c r="G249" s="38" t="s">
        <v>71</v>
      </c>
      <c r="H249" s="29">
        <v>945000000</v>
      </c>
      <c r="I249" s="30" t="s">
        <v>177</v>
      </c>
      <c r="J249" s="30" t="s">
        <v>177</v>
      </c>
      <c r="K249" s="147"/>
    </row>
    <row r="250" spans="1:11" x14ac:dyDescent="0.3">
      <c r="A250" s="143">
        <v>8</v>
      </c>
      <c r="B250" s="140">
        <v>42948</v>
      </c>
      <c r="C250" s="144">
        <v>41204</v>
      </c>
      <c r="D250" s="127">
        <v>3004</v>
      </c>
      <c r="E250" s="125" t="s">
        <v>15</v>
      </c>
      <c r="F250" s="126" t="s">
        <v>14</v>
      </c>
      <c r="G250" s="22" t="s">
        <v>66</v>
      </c>
      <c r="H250" s="17">
        <v>63670500</v>
      </c>
      <c r="I250" s="142">
        <f>3006750000</f>
        <v>3006750000</v>
      </c>
      <c r="J250" s="141">
        <f>K250-3213490500</f>
        <v>3798414262</v>
      </c>
      <c r="K250" s="127">
        <v>7011904762</v>
      </c>
    </row>
    <row r="251" spans="1:11" x14ac:dyDescent="0.3">
      <c r="A251" s="143"/>
      <c r="B251" s="140"/>
      <c r="C251" s="144"/>
      <c r="D251" s="127"/>
      <c r="E251" s="125"/>
      <c r="F251" s="126"/>
      <c r="G251" s="22" t="s">
        <v>65</v>
      </c>
      <c r="H251" s="17">
        <v>143070000</v>
      </c>
      <c r="I251" s="142"/>
      <c r="J251" s="125"/>
      <c r="K251" s="127"/>
    </row>
    <row r="252" spans="1:11" x14ac:dyDescent="0.3">
      <c r="A252" s="39">
        <v>8</v>
      </c>
      <c r="B252" s="15">
        <v>42948</v>
      </c>
      <c r="C252" s="16">
        <v>41204</v>
      </c>
      <c r="D252" s="17">
        <v>3005</v>
      </c>
      <c r="E252" s="30" t="s">
        <v>15</v>
      </c>
      <c r="F252" s="19" t="s">
        <v>18</v>
      </c>
      <c r="G252" s="20"/>
      <c r="H252" s="17"/>
      <c r="I252" s="30" t="s">
        <v>177</v>
      </c>
      <c r="J252" s="17">
        <f>K252</f>
        <v>50000000</v>
      </c>
      <c r="K252" s="17">
        <v>50000000</v>
      </c>
    </row>
    <row r="253" spans="1:11" x14ac:dyDescent="0.3">
      <c r="A253" s="39">
        <v>8</v>
      </c>
      <c r="B253" s="15">
        <v>42948</v>
      </c>
      <c r="C253" s="16">
        <v>41204</v>
      </c>
      <c r="D253" s="17">
        <v>3006</v>
      </c>
      <c r="E253" s="30" t="s">
        <v>15</v>
      </c>
      <c r="F253" s="19" t="s">
        <v>18</v>
      </c>
      <c r="G253" s="20" t="s">
        <v>112</v>
      </c>
      <c r="H253" s="17">
        <v>2372761</v>
      </c>
      <c r="I253" s="30" t="s">
        <v>177</v>
      </c>
      <c r="J253" s="17">
        <f>K253-H253</f>
        <v>15578985</v>
      </c>
      <c r="K253" s="17">
        <v>17951746</v>
      </c>
    </row>
    <row r="254" spans="1:11" ht="27.6" x14ac:dyDescent="0.3">
      <c r="A254" s="143">
        <v>8</v>
      </c>
      <c r="B254" s="140">
        <v>42948</v>
      </c>
      <c r="C254" s="127">
        <v>6318</v>
      </c>
      <c r="D254" s="127">
        <v>3010</v>
      </c>
      <c r="E254" s="126" t="s">
        <v>15</v>
      </c>
      <c r="F254" s="126" t="s">
        <v>111</v>
      </c>
      <c r="G254" s="22" t="s">
        <v>117</v>
      </c>
      <c r="H254" s="23">
        <v>119810715</v>
      </c>
      <c r="I254" s="141">
        <v>7610148457</v>
      </c>
      <c r="J254" s="127">
        <f>K254-12292463520</f>
        <v>305213555574</v>
      </c>
      <c r="K254" s="127">
        <v>317506019094</v>
      </c>
    </row>
    <row r="255" spans="1:11" x14ac:dyDescent="0.3">
      <c r="A255" s="143"/>
      <c r="B255" s="140"/>
      <c r="C255" s="127"/>
      <c r="D255" s="127"/>
      <c r="E255" s="126"/>
      <c r="F255" s="126"/>
      <c r="G255" s="22" t="s">
        <v>113</v>
      </c>
      <c r="H255" s="23">
        <f>123942539</f>
        <v>123942539</v>
      </c>
      <c r="I255" s="141"/>
      <c r="J255" s="125"/>
      <c r="K255" s="127"/>
    </row>
    <row r="256" spans="1:11" ht="27.6" x14ac:dyDescent="0.3">
      <c r="A256" s="143"/>
      <c r="B256" s="140"/>
      <c r="C256" s="127"/>
      <c r="D256" s="127"/>
      <c r="E256" s="126"/>
      <c r="F256" s="126"/>
      <c r="G256" s="22" t="s">
        <v>114</v>
      </c>
      <c r="H256" s="23">
        <v>138598777</v>
      </c>
      <c r="I256" s="141"/>
      <c r="J256" s="125"/>
      <c r="K256" s="127"/>
    </row>
    <row r="257" spans="1:11" x14ac:dyDescent="0.3">
      <c r="A257" s="143"/>
      <c r="B257" s="140"/>
      <c r="C257" s="127"/>
      <c r="D257" s="127"/>
      <c r="E257" s="126"/>
      <c r="F257" s="126"/>
      <c r="G257" s="22" t="s">
        <v>115</v>
      </c>
      <c r="H257" s="23">
        <f>24186557</f>
        <v>24186557</v>
      </c>
      <c r="I257" s="141"/>
      <c r="J257" s="125"/>
      <c r="K257" s="127"/>
    </row>
    <row r="258" spans="1:11" x14ac:dyDescent="0.3">
      <c r="A258" s="143"/>
      <c r="B258" s="140"/>
      <c r="C258" s="127"/>
      <c r="D258" s="127"/>
      <c r="E258" s="126"/>
      <c r="F258" s="126"/>
      <c r="G258" s="22" t="s">
        <v>118</v>
      </c>
      <c r="H258" s="23">
        <f>1101715773</f>
        <v>1101715773</v>
      </c>
      <c r="I258" s="141"/>
      <c r="J258" s="125"/>
      <c r="K258" s="127"/>
    </row>
    <row r="259" spans="1:11" x14ac:dyDescent="0.3">
      <c r="A259" s="143"/>
      <c r="B259" s="140"/>
      <c r="C259" s="127"/>
      <c r="D259" s="127"/>
      <c r="E259" s="126"/>
      <c r="F259" s="126"/>
      <c r="G259" s="22" t="s">
        <v>116</v>
      </c>
      <c r="H259" s="23">
        <f>19974172+15724025</f>
        <v>35698197</v>
      </c>
      <c r="I259" s="141"/>
      <c r="J259" s="125"/>
      <c r="K259" s="127"/>
    </row>
    <row r="260" spans="1:11" x14ac:dyDescent="0.3">
      <c r="A260" s="143"/>
      <c r="B260" s="140"/>
      <c r="C260" s="127"/>
      <c r="D260" s="127"/>
      <c r="E260" s="126"/>
      <c r="F260" s="126"/>
      <c r="G260" s="38" t="s">
        <v>119</v>
      </c>
      <c r="H260" s="23">
        <v>2831178154</v>
      </c>
      <c r="I260" s="141"/>
      <c r="J260" s="125"/>
      <c r="K260" s="127"/>
    </row>
    <row r="261" spans="1:11" ht="27.6" x14ac:dyDescent="0.3">
      <c r="A261" s="143"/>
      <c r="B261" s="140"/>
      <c r="C261" s="127"/>
      <c r="D261" s="127"/>
      <c r="E261" s="126"/>
      <c r="F261" s="126"/>
      <c r="G261" s="38" t="s">
        <v>121</v>
      </c>
      <c r="H261" s="23">
        <v>159240880</v>
      </c>
      <c r="I261" s="141"/>
      <c r="J261" s="125"/>
      <c r="K261" s="127"/>
    </row>
    <row r="262" spans="1:11" ht="27.6" x14ac:dyDescent="0.3">
      <c r="A262" s="143"/>
      <c r="B262" s="140"/>
      <c r="C262" s="127"/>
      <c r="D262" s="127"/>
      <c r="E262" s="126"/>
      <c r="F262" s="126"/>
      <c r="G262" s="38" t="s">
        <v>120</v>
      </c>
      <c r="H262" s="23">
        <v>147943471</v>
      </c>
      <c r="I262" s="141"/>
      <c r="J262" s="125"/>
      <c r="K262" s="127"/>
    </row>
    <row r="263" spans="1:11" x14ac:dyDescent="0.3">
      <c r="A263" s="30">
        <v>8</v>
      </c>
      <c r="B263" s="15">
        <v>42949</v>
      </c>
      <c r="C263" s="17">
        <v>41205</v>
      </c>
      <c r="D263" s="17">
        <v>3012</v>
      </c>
      <c r="E263" s="30" t="s">
        <v>15</v>
      </c>
      <c r="F263" s="10" t="s">
        <v>29</v>
      </c>
      <c r="G263" s="20" t="s">
        <v>122</v>
      </c>
      <c r="H263" s="17">
        <f>K263</f>
        <v>1257146560</v>
      </c>
      <c r="I263" s="30" t="s">
        <v>177</v>
      </c>
      <c r="J263" s="30" t="s">
        <v>177</v>
      </c>
      <c r="K263" s="17">
        <v>1257146560</v>
      </c>
    </row>
    <row r="264" spans="1:11" x14ac:dyDescent="0.3">
      <c r="A264" s="30">
        <v>8</v>
      </c>
      <c r="B264" s="15">
        <v>42955</v>
      </c>
      <c r="C264" s="17">
        <v>41209</v>
      </c>
      <c r="D264" s="17">
        <v>3018</v>
      </c>
      <c r="E264" s="30" t="s">
        <v>15</v>
      </c>
      <c r="F264" s="10" t="s">
        <v>14</v>
      </c>
      <c r="G264" s="30" t="s">
        <v>177</v>
      </c>
      <c r="H264" s="30" t="s">
        <v>177</v>
      </c>
      <c r="I264" s="17">
        <v>4681717438</v>
      </c>
      <c r="J264" s="17">
        <f>K264-I264</f>
        <v>1028551344</v>
      </c>
      <c r="K264" s="17">
        <v>5710268782</v>
      </c>
    </row>
    <row r="265" spans="1:11" x14ac:dyDescent="0.3">
      <c r="A265" s="30">
        <v>8</v>
      </c>
      <c r="B265" s="15">
        <v>42955</v>
      </c>
      <c r="C265" s="17">
        <v>41209</v>
      </c>
      <c r="D265" s="17">
        <v>3019</v>
      </c>
      <c r="E265" s="30" t="s">
        <v>15</v>
      </c>
      <c r="F265" s="10" t="s">
        <v>14</v>
      </c>
      <c r="G265" s="30" t="s">
        <v>177</v>
      </c>
      <c r="H265" s="30" t="s">
        <v>177</v>
      </c>
      <c r="I265" s="30" t="s">
        <v>177</v>
      </c>
      <c r="J265" s="17">
        <f>K265</f>
        <v>2432508221</v>
      </c>
      <c r="K265" s="17">
        <v>2432508221</v>
      </c>
    </row>
    <row r="266" spans="1:11" x14ac:dyDescent="0.3">
      <c r="A266" s="30">
        <v>8</v>
      </c>
      <c r="B266" s="15">
        <v>42955</v>
      </c>
      <c r="C266" s="17">
        <v>41209</v>
      </c>
      <c r="D266" s="17">
        <v>3020</v>
      </c>
      <c r="E266" s="30" t="s">
        <v>15</v>
      </c>
      <c r="F266" s="10" t="s">
        <v>7</v>
      </c>
      <c r="G266" s="20" t="s">
        <v>12</v>
      </c>
      <c r="H266" s="17">
        <f>K266</f>
        <v>2282014960</v>
      </c>
      <c r="I266" s="30" t="s">
        <v>177</v>
      </c>
      <c r="J266" s="30" t="s">
        <v>177</v>
      </c>
      <c r="K266" s="17">
        <v>2282014960</v>
      </c>
    </row>
    <row r="267" spans="1:11" x14ac:dyDescent="0.3">
      <c r="A267" s="30">
        <v>8</v>
      </c>
      <c r="B267" s="15">
        <v>42955</v>
      </c>
      <c r="C267" s="17">
        <v>41209</v>
      </c>
      <c r="D267" s="17">
        <v>3021</v>
      </c>
      <c r="E267" s="30" t="s">
        <v>15</v>
      </c>
      <c r="F267" s="10" t="s">
        <v>18</v>
      </c>
      <c r="G267" s="30" t="s">
        <v>177</v>
      </c>
      <c r="H267" s="30" t="s">
        <v>177</v>
      </c>
      <c r="I267" s="17">
        <v>295927053</v>
      </c>
      <c r="J267" s="17">
        <f>K267-I267</f>
        <v>5000000</v>
      </c>
      <c r="K267" s="17">
        <v>300927053</v>
      </c>
    </row>
    <row r="268" spans="1:11" x14ac:dyDescent="0.3">
      <c r="A268" s="30">
        <v>8</v>
      </c>
      <c r="B268" s="15">
        <v>42969</v>
      </c>
      <c r="C268" s="17">
        <v>41219</v>
      </c>
      <c r="D268" s="17">
        <v>3033</v>
      </c>
      <c r="E268" s="30" t="s">
        <v>15</v>
      </c>
      <c r="F268" s="10" t="s">
        <v>18</v>
      </c>
      <c r="G268" s="30" t="s">
        <v>177</v>
      </c>
      <c r="H268" s="30" t="s">
        <v>177</v>
      </c>
      <c r="I268" s="17">
        <v>205400000</v>
      </c>
      <c r="J268" s="17">
        <f>K268-I268</f>
        <v>4319741</v>
      </c>
      <c r="K268" s="17">
        <v>209719741</v>
      </c>
    </row>
    <row r="269" spans="1:11" x14ac:dyDescent="0.3">
      <c r="A269" s="30">
        <v>8</v>
      </c>
      <c r="B269" s="15">
        <v>42969</v>
      </c>
      <c r="C269" s="17">
        <v>41219</v>
      </c>
      <c r="D269" s="17">
        <v>3034</v>
      </c>
      <c r="E269" s="30" t="s">
        <v>15</v>
      </c>
      <c r="F269" s="10" t="s">
        <v>39</v>
      </c>
      <c r="G269" s="30" t="s">
        <v>177</v>
      </c>
      <c r="H269" s="30" t="s">
        <v>177</v>
      </c>
      <c r="I269" s="17"/>
      <c r="J269" s="17">
        <f>K269</f>
        <v>10000000000</v>
      </c>
      <c r="K269" s="17">
        <v>10000000000</v>
      </c>
    </row>
    <row r="270" spans="1:11" x14ac:dyDescent="0.3">
      <c r="A270" s="125">
        <v>8</v>
      </c>
      <c r="B270" s="140">
        <v>42970</v>
      </c>
      <c r="C270" s="127">
        <v>6328</v>
      </c>
      <c r="D270" s="127">
        <v>3039</v>
      </c>
      <c r="E270" s="125" t="s">
        <v>15</v>
      </c>
      <c r="F270" s="19" t="s">
        <v>36</v>
      </c>
      <c r="G270" s="30" t="s">
        <v>177</v>
      </c>
      <c r="H270" s="30" t="s">
        <v>177</v>
      </c>
      <c r="I270" s="29">
        <v>3015883556</v>
      </c>
      <c r="J270" s="125" t="s">
        <v>177</v>
      </c>
      <c r="K270" s="127">
        <v>2684104972491</v>
      </c>
    </row>
    <row r="271" spans="1:11" x14ac:dyDescent="0.3">
      <c r="A271" s="125"/>
      <c r="B271" s="140"/>
      <c r="C271" s="127"/>
      <c r="D271" s="127"/>
      <c r="E271" s="125"/>
      <c r="F271" s="19" t="s">
        <v>37</v>
      </c>
      <c r="G271" s="30" t="s">
        <v>177</v>
      </c>
      <c r="H271" s="30" t="s">
        <v>177</v>
      </c>
      <c r="I271" s="29">
        <v>7659303571</v>
      </c>
      <c r="J271" s="125"/>
      <c r="K271" s="127"/>
    </row>
    <row r="272" spans="1:11" ht="27.6" x14ac:dyDescent="0.3">
      <c r="A272" s="125"/>
      <c r="B272" s="140"/>
      <c r="C272" s="127"/>
      <c r="D272" s="127"/>
      <c r="E272" s="125"/>
      <c r="F272" s="19" t="s">
        <v>97</v>
      </c>
      <c r="G272" s="30" t="s">
        <v>177</v>
      </c>
      <c r="H272" s="30" t="s">
        <v>177</v>
      </c>
      <c r="I272" s="29">
        <v>1762327614</v>
      </c>
      <c r="J272" s="125"/>
      <c r="K272" s="127"/>
    </row>
    <row r="273" spans="1:11" x14ac:dyDescent="0.3">
      <c r="A273" s="125"/>
      <c r="B273" s="140"/>
      <c r="C273" s="127"/>
      <c r="D273" s="127"/>
      <c r="E273" s="125"/>
      <c r="F273" s="19" t="s">
        <v>24</v>
      </c>
      <c r="G273" s="30" t="s">
        <v>177</v>
      </c>
      <c r="H273" s="30" t="s">
        <v>177</v>
      </c>
      <c r="I273" s="29">
        <v>171654247075</v>
      </c>
      <c r="J273" s="125"/>
      <c r="K273" s="127"/>
    </row>
    <row r="274" spans="1:11" x14ac:dyDescent="0.3">
      <c r="A274" s="125"/>
      <c r="B274" s="140"/>
      <c r="C274" s="127"/>
      <c r="D274" s="127"/>
      <c r="E274" s="125"/>
      <c r="F274" s="19" t="s">
        <v>25</v>
      </c>
      <c r="G274" s="30" t="s">
        <v>177</v>
      </c>
      <c r="H274" s="30" t="s">
        <v>177</v>
      </c>
      <c r="I274" s="29">
        <v>242776442267</v>
      </c>
      <c r="J274" s="125"/>
      <c r="K274" s="127"/>
    </row>
    <row r="275" spans="1:11" ht="27.6" x14ac:dyDescent="0.3">
      <c r="A275" s="125"/>
      <c r="B275" s="140"/>
      <c r="C275" s="127"/>
      <c r="D275" s="127"/>
      <c r="E275" s="125"/>
      <c r="F275" s="19" t="s">
        <v>38</v>
      </c>
      <c r="G275" s="30" t="s">
        <v>177</v>
      </c>
      <c r="H275" s="30" t="s">
        <v>177</v>
      </c>
      <c r="I275" s="29">
        <v>3244855488</v>
      </c>
      <c r="J275" s="125"/>
      <c r="K275" s="127"/>
    </row>
    <row r="276" spans="1:11" x14ac:dyDescent="0.3">
      <c r="A276" s="125"/>
      <c r="B276" s="140"/>
      <c r="C276" s="127"/>
      <c r="D276" s="127"/>
      <c r="E276" s="125"/>
      <c r="F276" s="19" t="s">
        <v>39</v>
      </c>
      <c r="G276" s="30" t="s">
        <v>177</v>
      </c>
      <c r="H276" s="30" t="s">
        <v>177</v>
      </c>
      <c r="I276" s="29">
        <v>29926091332</v>
      </c>
      <c r="J276" s="125"/>
      <c r="K276" s="127"/>
    </row>
    <row r="277" spans="1:11" x14ac:dyDescent="0.3">
      <c r="A277" s="125"/>
      <c r="B277" s="140"/>
      <c r="C277" s="127"/>
      <c r="D277" s="127"/>
      <c r="E277" s="125"/>
      <c r="F277" s="19" t="s">
        <v>40</v>
      </c>
      <c r="G277" s="30" t="s">
        <v>177</v>
      </c>
      <c r="H277" s="30" t="s">
        <v>177</v>
      </c>
      <c r="I277" s="29">
        <v>11896493205</v>
      </c>
      <c r="J277" s="125"/>
      <c r="K277" s="127"/>
    </row>
    <row r="278" spans="1:11" x14ac:dyDescent="0.3">
      <c r="A278" s="125"/>
      <c r="B278" s="140"/>
      <c r="C278" s="127"/>
      <c r="D278" s="127"/>
      <c r="E278" s="125"/>
      <c r="F278" s="19" t="s">
        <v>26</v>
      </c>
      <c r="G278" s="30" t="s">
        <v>177</v>
      </c>
      <c r="H278" s="30" t="s">
        <v>177</v>
      </c>
      <c r="I278" s="29">
        <v>91006080</v>
      </c>
      <c r="J278" s="125"/>
      <c r="K278" s="127"/>
    </row>
    <row r="279" spans="1:11" ht="27.6" x14ac:dyDescent="0.3">
      <c r="A279" s="125"/>
      <c r="B279" s="140"/>
      <c r="C279" s="127"/>
      <c r="D279" s="127"/>
      <c r="E279" s="125"/>
      <c r="F279" s="19" t="s">
        <v>41</v>
      </c>
      <c r="G279" s="30" t="s">
        <v>177</v>
      </c>
      <c r="H279" s="30" t="s">
        <v>177</v>
      </c>
      <c r="I279" s="29">
        <v>24816038251</v>
      </c>
      <c r="J279" s="125"/>
      <c r="K279" s="127"/>
    </row>
    <row r="280" spans="1:11" x14ac:dyDescent="0.3">
      <c r="A280" s="125"/>
      <c r="B280" s="140"/>
      <c r="C280" s="127"/>
      <c r="D280" s="127"/>
      <c r="E280" s="125"/>
      <c r="F280" s="19" t="s">
        <v>42</v>
      </c>
      <c r="G280" s="30" t="s">
        <v>177</v>
      </c>
      <c r="H280" s="30" t="s">
        <v>177</v>
      </c>
      <c r="I280" s="29">
        <v>993950563</v>
      </c>
      <c r="J280" s="125"/>
      <c r="K280" s="127"/>
    </row>
    <row r="281" spans="1:11" x14ac:dyDescent="0.3">
      <c r="A281" s="125"/>
      <c r="B281" s="140"/>
      <c r="C281" s="127"/>
      <c r="D281" s="127"/>
      <c r="E281" s="125"/>
      <c r="F281" s="19" t="s">
        <v>28</v>
      </c>
      <c r="G281" s="30" t="s">
        <v>177</v>
      </c>
      <c r="H281" s="30" t="s">
        <v>177</v>
      </c>
      <c r="I281" s="29">
        <v>7806550139</v>
      </c>
      <c r="J281" s="125"/>
      <c r="K281" s="127"/>
    </row>
    <row r="282" spans="1:11" ht="27.6" x14ac:dyDescent="0.3">
      <c r="A282" s="125"/>
      <c r="B282" s="140"/>
      <c r="C282" s="127"/>
      <c r="D282" s="127"/>
      <c r="E282" s="125"/>
      <c r="F282" s="19" t="s">
        <v>98</v>
      </c>
      <c r="G282" s="30" t="s">
        <v>177</v>
      </c>
      <c r="H282" s="30" t="s">
        <v>177</v>
      </c>
      <c r="I282" s="24">
        <f>2232861553</f>
        <v>2232861553</v>
      </c>
      <c r="J282" s="125"/>
      <c r="K282" s="127"/>
    </row>
    <row r="283" spans="1:11" ht="27.6" x14ac:dyDescent="0.3">
      <c r="A283" s="125"/>
      <c r="B283" s="140"/>
      <c r="C283" s="127"/>
      <c r="D283" s="127"/>
      <c r="E283" s="125"/>
      <c r="F283" s="19" t="s">
        <v>131</v>
      </c>
      <c r="G283" s="30" t="s">
        <v>177</v>
      </c>
      <c r="H283" s="30" t="s">
        <v>177</v>
      </c>
      <c r="I283" s="29">
        <v>1036236648</v>
      </c>
      <c r="J283" s="125"/>
      <c r="K283" s="127"/>
    </row>
    <row r="284" spans="1:11" ht="27.6" x14ac:dyDescent="0.3">
      <c r="A284" s="125"/>
      <c r="B284" s="140"/>
      <c r="C284" s="127"/>
      <c r="D284" s="127"/>
      <c r="E284" s="125"/>
      <c r="F284" s="19" t="s">
        <v>130</v>
      </c>
      <c r="G284" s="30" t="s">
        <v>177</v>
      </c>
      <c r="H284" s="30" t="s">
        <v>177</v>
      </c>
      <c r="I284" s="29">
        <v>2021080383</v>
      </c>
      <c r="J284" s="125"/>
      <c r="K284" s="127"/>
    </row>
    <row r="285" spans="1:11" x14ac:dyDescent="0.3">
      <c r="A285" s="125"/>
      <c r="B285" s="140"/>
      <c r="C285" s="127"/>
      <c r="D285" s="127"/>
      <c r="E285" s="125"/>
      <c r="F285" s="19" t="s">
        <v>90</v>
      </c>
      <c r="G285" s="30" t="s">
        <v>177</v>
      </c>
      <c r="H285" s="30" t="s">
        <v>177</v>
      </c>
      <c r="I285" s="29">
        <v>35805150</v>
      </c>
      <c r="J285" s="125"/>
      <c r="K285" s="127"/>
    </row>
    <row r="286" spans="1:11" x14ac:dyDescent="0.3">
      <c r="A286" s="125"/>
      <c r="B286" s="140"/>
      <c r="C286" s="127"/>
      <c r="D286" s="127"/>
      <c r="E286" s="125"/>
      <c r="F286" s="19" t="s">
        <v>44</v>
      </c>
      <c r="G286" s="30" t="s">
        <v>177</v>
      </c>
      <c r="H286" s="30" t="s">
        <v>177</v>
      </c>
      <c r="I286" s="29">
        <v>244204757</v>
      </c>
      <c r="J286" s="125"/>
      <c r="K286" s="127"/>
    </row>
    <row r="287" spans="1:11" x14ac:dyDescent="0.3">
      <c r="A287" s="125"/>
      <c r="B287" s="140"/>
      <c r="C287" s="127"/>
      <c r="D287" s="127"/>
      <c r="E287" s="125"/>
      <c r="F287" s="19" t="s">
        <v>129</v>
      </c>
      <c r="G287" s="30" t="s">
        <v>177</v>
      </c>
      <c r="H287" s="30" t="s">
        <v>177</v>
      </c>
      <c r="I287" s="29">
        <v>485998915</v>
      </c>
      <c r="J287" s="125"/>
      <c r="K287" s="127"/>
    </row>
    <row r="288" spans="1:11" x14ac:dyDescent="0.3">
      <c r="A288" s="125"/>
      <c r="B288" s="140"/>
      <c r="C288" s="127"/>
      <c r="D288" s="127"/>
      <c r="E288" s="125"/>
      <c r="F288" s="19" t="s">
        <v>45</v>
      </c>
      <c r="G288" s="30" t="s">
        <v>177</v>
      </c>
      <c r="H288" s="30" t="s">
        <v>177</v>
      </c>
      <c r="I288" s="29">
        <v>366544469</v>
      </c>
      <c r="J288" s="125"/>
      <c r="K288" s="127"/>
    </row>
    <row r="289" spans="1:11" x14ac:dyDescent="0.3">
      <c r="A289" s="125"/>
      <c r="B289" s="140"/>
      <c r="C289" s="127"/>
      <c r="D289" s="127"/>
      <c r="E289" s="125"/>
      <c r="F289" s="19" t="s">
        <v>580</v>
      </c>
      <c r="G289" s="30" t="s">
        <v>177</v>
      </c>
      <c r="H289" s="30" t="s">
        <v>177</v>
      </c>
      <c r="I289" s="29">
        <v>3493871407</v>
      </c>
      <c r="J289" s="125"/>
      <c r="K289" s="127"/>
    </row>
    <row r="290" spans="1:11" x14ac:dyDescent="0.3">
      <c r="A290" s="125"/>
      <c r="B290" s="140"/>
      <c r="C290" s="127"/>
      <c r="D290" s="127"/>
      <c r="E290" s="125"/>
      <c r="F290" s="19" t="s">
        <v>101</v>
      </c>
      <c r="G290" s="30" t="s">
        <v>177</v>
      </c>
      <c r="H290" s="30" t="s">
        <v>177</v>
      </c>
      <c r="I290" s="29">
        <v>1117809778</v>
      </c>
      <c r="J290" s="125"/>
      <c r="K290" s="127"/>
    </row>
    <row r="291" spans="1:11" ht="27.6" x14ac:dyDescent="0.3">
      <c r="A291" s="125"/>
      <c r="B291" s="140"/>
      <c r="C291" s="127"/>
      <c r="D291" s="127"/>
      <c r="E291" s="125"/>
      <c r="F291" s="19" t="s">
        <v>102</v>
      </c>
      <c r="G291" s="30" t="s">
        <v>177</v>
      </c>
      <c r="H291" s="30" t="s">
        <v>177</v>
      </c>
      <c r="I291" s="29">
        <v>347147036</v>
      </c>
      <c r="J291" s="125"/>
      <c r="K291" s="127"/>
    </row>
    <row r="292" spans="1:11" x14ac:dyDescent="0.3">
      <c r="A292" s="125"/>
      <c r="B292" s="140"/>
      <c r="C292" s="127"/>
      <c r="D292" s="127"/>
      <c r="E292" s="125"/>
      <c r="F292" s="19" t="s">
        <v>128</v>
      </c>
      <c r="G292" s="30" t="s">
        <v>177</v>
      </c>
      <c r="H292" s="30" t="s">
        <v>177</v>
      </c>
      <c r="I292" s="29">
        <v>86859070622</v>
      </c>
      <c r="J292" s="125"/>
      <c r="K292" s="127"/>
    </row>
    <row r="293" spans="1:11" ht="27.6" x14ac:dyDescent="0.3">
      <c r="A293" s="125"/>
      <c r="B293" s="140"/>
      <c r="C293" s="127"/>
      <c r="D293" s="127"/>
      <c r="E293" s="125"/>
      <c r="F293" s="19" t="s">
        <v>127</v>
      </c>
      <c r="G293" s="30" t="s">
        <v>177</v>
      </c>
      <c r="H293" s="30" t="s">
        <v>177</v>
      </c>
      <c r="I293" s="29">
        <v>2916682153</v>
      </c>
      <c r="J293" s="125"/>
      <c r="K293" s="127"/>
    </row>
    <row r="294" spans="1:11" ht="27.6" x14ac:dyDescent="0.3">
      <c r="A294" s="125"/>
      <c r="B294" s="140"/>
      <c r="C294" s="127"/>
      <c r="D294" s="127"/>
      <c r="E294" s="125"/>
      <c r="F294" s="19" t="s">
        <v>126</v>
      </c>
      <c r="G294" s="30" t="s">
        <v>177</v>
      </c>
      <c r="H294" s="30" t="s">
        <v>177</v>
      </c>
      <c r="I294" s="17"/>
      <c r="J294" s="125"/>
      <c r="K294" s="127"/>
    </row>
    <row r="295" spans="1:11" x14ac:dyDescent="0.3">
      <c r="A295" s="125"/>
      <c r="B295" s="140"/>
      <c r="C295" s="127"/>
      <c r="D295" s="127"/>
      <c r="E295" s="125"/>
      <c r="F295" s="19" t="s">
        <v>125</v>
      </c>
      <c r="G295" s="30" t="s">
        <v>177</v>
      </c>
      <c r="H295" s="30" t="s">
        <v>177</v>
      </c>
      <c r="I295" s="29">
        <v>787946129</v>
      </c>
      <c r="J295" s="125"/>
      <c r="K295" s="127"/>
    </row>
    <row r="296" spans="1:11" x14ac:dyDescent="0.3">
      <c r="A296" s="125"/>
      <c r="B296" s="140"/>
      <c r="C296" s="127"/>
      <c r="D296" s="127"/>
      <c r="E296" s="125"/>
      <c r="F296" s="19" t="s">
        <v>7</v>
      </c>
      <c r="G296" s="30" t="s">
        <v>177</v>
      </c>
      <c r="H296" s="30" t="s">
        <v>177</v>
      </c>
      <c r="I296" s="29">
        <v>3424441</v>
      </c>
      <c r="J296" s="125"/>
      <c r="K296" s="127"/>
    </row>
    <row r="297" spans="1:11" ht="27.6" x14ac:dyDescent="0.3">
      <c r="A297" s="125"/>
      <c r="B297" s="140"/>
      <c r="C297" s="127"/>
      <c r="D297" s="127"/>
      <c r="E297" s="125"/>
      <c r="F297" s="19" t="s">
        <v>47</v>
      </c>
      <c r="G297" s="30" t="s">
        <v>177</v>
      </c>
      <c r="H297" s="30" t="s">
        <v>177</v>
      </c>
      <c r="I297" s="29">
        <v>14306900072</v>
      </c>
      <c r="J297" s="125"/>
      <c r="K297" s="127"/>
    </row>
    <row r="298" spans="1:11" x14ac:dyDescent="0.3">
      <c r="A298" s="125"/>
      <c r="B298" s="140"/>
      <c r="C298" s="127"/>
      <c r="D298" s="127"/>
      <c r="E298" s="125"/>
      <c r="F298" s="19" t="s">
        <v>48</v>
      </c>
      <c r="G298" s="30" t="s">
        <v>177</v>
      </c>
      <c r="H298" s="30" t="s">
        <v>177</v>
      </c>
      <c r="I298" s="29">
        <v>6963963523</v>
      </c>
      <c r="J298" s="125"/>
      <c r="K298" s="127"/>
    </row>
    <row r="299" spans="1:11" x14ac:dyDescent="0.3">
      <c r="A299" s="125"/>
      <c r="B299" s="140"/>
      <c r="C299" s="127"/>
      <c r="D299" s="127"/>
      <c r="E299" s="125"/>
      <c r="F299" s="19" t="s">
        <v>49</v>
      </c>
      <c r="G299" s="30" t="s">
        <v>177</v>
      </c>
      <c r="H299" s="30" t="s">
        <v>177</v>
      </c>
      <c r="I299" s="29">
        <v>302301857</v>
      </c>
      <c r="J299" s="125"/>
      <c r="K299" s="127"/>
    </row>
    <row r="300" spans="1:11" ht="27.6" x14ac:dyDescent="0.3">
      <c r="A300" s="125"/>
      <c r="B300" s="140"/>
      <c r="C300" s="127"/>
      <c r="D300" s="127"/>
      <c r="E300" s="125"/>
      <c r="F300" s="19" t="s">
        <v>33</v>
      </c>
      <c r="G300" s="30" t="s">
        <v>177</v>
      </c>
      <c r="H300" s="30" t="s">
        <v>177</v>
      </c>
      <c r="I300" s="29">
        <v>1217813025</v>
      </c>
      <c r="J300" s="125"/>
      <c r="K300" s="127"/>
    </row>
    <row r="301" spans="1:11" ht="27.6" x14ac:dyDescent="0.3">
      <c r="A301" s="125"/>
      <c r="B301" s="140"/>
      <c r="C301" s="127"/>
      <c r="D301" s="127"/>
      <c r="E301" s="125"/>
      <c r="F301" s="19" t="s">
        <v>108</v>
      </c>
      <c r="G301" s="30" t="s">
        <v>177</v>
      </c>
      <c r="H301" s="30" t="s">
        <v>177</v>
      </c>
      <c r="I301" s="29">
        <v>948877483</v>
      </c>
      <c r="J301" s="125"/>
      <c r="K301" s="127"/>
    </row>
    <row r="302" spans="1:11" ht="27.6" x14ac:dyDescent="0.3">
      <c r="A302" s="125"/>
      <c r="B302" s="140"/>
      <c r="C302" s="127"/>
      <c r="D302" s="127"/>
      <c r="E302" s="125"/>
      <c r="F302" s="19" t="s">
        <v>109</v>
      </c>
      <c r="G302" s="30" t="s">
        <v>177</v>
      </c>
      <c r="H302" s="30" t="s">
        <v>177</v>
      </c>
      <c r="I302" s="29">
        <v>2253699336</v>
      </c>
      <c r="J302" s="125"/>
      <c r="K302" s="127"/>
    </row>
    <row r="303" spans="1:11" x14ac:dyDescent="0.3">
      <c r="A303" s="125"/>
      <c r="B303" s="140"/>
      <c r="C303" s="127"/>
      <c r="D303" s="127"/>
      <c r="E303" s="125"/>
      <c r="F303" s="19" t="s">
        <v>110</v>
      </c>
      <c r="G303" s="30" t="s">
        <v>177</v>
      </c>
      <c r="H303" s="30" t="s">
        <v>177</v>
      </c>
      <c r="I303" s="29">
        <v>3706310586</v>
      </c>
      <c r="J303" s="125"/>
      <c r="K303" s="127"/>
    </row>
    <row r="304" spans="1:11" ht="27.6" x14ac:dyDescent="0.3">
      <c r="A304" s="125"/>
      <c r="B304" s="140"/>
      <c r="C304" s="127"/>
      <c r="D304" s="127"/>
      <c r="E304" s="125"/>
      <c r="F304" s="19" t="s">
        <v>124</v>
      </c>
      <c r="G304" s="30" t="s">
        <v>177</v>
      </c>
      <c r="H304" s="30" t="s">
        <v>177</v>
      </c>
      <c r="I304" s="29">
        <v>94594962</v>
      </c>
      <c r="J304" s="125"/>
      <c r="K304" s="127"/>
    </row>
    <row r="305" spans="1:11" ht="27.6" x14ac:dyDescent="0.3">
      <c r="A305" s="125"/>
      <c r="B305" s="140"/>
      <c r="C305" s="127"/>
      <c r="D305" s="127"/>
      <c r="E305" s="125"/>
      <c r="F305" s="19" t="s">
        <v>52</v>
      </c>
      <c r="G305" s="30" t="s">
        <v>177</v>
      </c>
      <c r="H305" s="30" t="s">
        <v>177</v>
      </c>
      <c r="I305" s="29">
        <v>349521932</v>
      </c>
      <c r="J305" s="125"/>
      <c r="K305" s="127"/>
    </row>
    <row r="306" spans="1:11" x14ac:dyDescent="0.3">
      <c r="A306" s="125"/>
      <c r="B306" s="140"/>
      <c r="C306" s="127"/>
      <c r="D306" s="127"/>
      <c r="E306" s="125"/>
      <c r="F306" s="19" t="s">
        <v>53</v>
      </c>
      <c r="G306" s="30" t="s">
        <v>177</v>
      </c>
      <c r="H306" s="30" t="s">
        <v>177</v>
      </c>
      <c r="I306" s="24">
        <f>151065043</f>
        <v>151065043</v>
      </c>
      <c r="J306" s="125"/>
      <c r="K306" s="127"/>
    </row>
    <row r="307" spans="1:11" ht="27.6" x14ac:dyDescent="0.3">
      <c r="A307" s="125"/>
      <c r="B307" s="140"/>
      <c r="C307" s="127"/>
      <c r="D307" s="127"/>
      <c r="E307" s="125"/>
      <c r="F307" s="19" t="s">
        <v>55</v>
      </c>
      <c r="G307" s="30" t="s">
        <v>177</v>
      </c>
      <c r="H307" s="30" t="s">
        <v>177</v>
      </c>
      <c r="I307" s="17"/>
      <c r="J307" s="125"/>
      <c r="K307" s="127"/>
    </row>
    <row r="308" spans="1:11" ht="27.6" x14ac:dyDescent="0.3">
      <c r="A308" s="125"/>
      <c r="B308" s="140"/>
      <c r="C308" s="127"/>
      <c r="D308" s="127"/>
      <c r="E308" s="125"/>
      <c r="F308" s="19" t="s">
        <v>34</v>
      </c>
      <c r="G308" s="30" t="s">
        <v>177</v>
      </c>
      <c r="H308" s="30" t="s">
        <v>177</v>
      </c>
      <c r="I308" s="24">
        <f>45107470</f>
        <v>45107470</v>
      </c>
      <c r="J308" s="125"/>
      <c r="K308" s="127"/>
    </row>
    <row r="309" spans="1:11" x14ac:dyDescent="0.3">
      <c r="A309" s="125"/>
      <c r="B309" s="140"/>
      <c r="C309" s="127"/>
      <c r="D309" s="127"/>
      <c r="E309" s="125"/>
      <c r="F309" s="19" t="s">
        <v>56</v>
      </c>
      <c r="G309" s="30" t="s">
        <v>177</v>
      </c>
      <c r="H309" s="30" t="s">
        <v>177</v>
      </c>
      <c r="I309" s="29">
        <v>4864848242</v>
      </c>
      <c r="J309" s="125"/>
      <c r="K309" s="127"/>
    </row>
    <row r="310" spans="1:11" x14ac:dyDescent="0.3">
      <c r="A310" s="125"/>
      <c r="B310" s="140"/>
      <c r="C310" s="127"/>
      <c r="D310" s="127"/>
      <c r="E310" s="125"/>
      <c r="F310" s="19" t="s">
        <v>57</v>
      </c>
      <c r="G310" s="30" t="s">
        <v>177</v>
      </c>
      <c r="H310" s="30" t="s">
        <v>177</v>
      </c>
      <c r="I310" s="17"/>
      <c r="J310" s="125"/>
      <c r="K310" s="127"/>
    </row>
    <row r="311" spans="1:11" x14ac:dyDescent="0.3">
      <c r="A311" s="125"/>
      <c r="B311" s="140"/>
      <c r="C311" s="127"/>
      <c r="D311" s="127"/>
      <c r="E311" s="125"/>
      <c r="F311" s="19" t="s">
        <v>111</v>
      </c>
      <c r="G311" s="30" t="s">
        <v>177</v>
      </c>
      <c r="H311" s="30" t="s">
        <v>177</v>
      </c>
      <c r="I311" s="29">
        <v>5495949870</v>
      </c>
      <c r="J311" s="125"/>
      <c r="K311" s="127"/>
    </row>
    <row r="312" spans="1:11" x14ac:dyDescent="0.3">
      <c r="A312" s="30">
        <v>8</v>
      </c>
      <c r="B312" s="15">
        <v>42977</v>
      </c>
      <c r="C312" s="17">
        <v>41225</v>
      </c>
      <c r="D312" s="17">
        <v>3054</v>
      </c>
      <c r="E312" s="30"/>
      <c r="F312" s="19" t="s">
        <v>7</v>
      </c>
      <c r="G312" s="20" t="s">
        <v>12</v>
      </c>
      <c r="H312" s="17">
        <f>K312</f>
        <v>109000000000</v>
      </c>
      <c r="I312" s="30" t="s">
        <v>177</v>
      </c>
      <c r="J312" s="30" t="s">
        <v>177</v>
      </c>
      <c r="K312" s="14">
        <v>109000000000</v>
      </c>
    </row>
    <row r="313" spans="1:11" ht="27.6" x14ac:dyDescent="0.3">
      <c r="A313" s="30">
        <v>8</v>
      </c>
      <c r="B313" s="15">
        <v>42977</v>
      </c>
      <c r="C313" s="17">
        <v>41225</v>
      </c>
      <c r="D313" s="17">
        <v>3055</v>
      </c>
      <c r="E313" s="30"/>
      <c r="F313" s="19" t="s">
        <v>123</v>
      </c>
      <c r="G313" s="20" t="s">
        <v>35</v>
      </c>
      <c r="H313" s="30" t="s">
        <v>177</v>
      </c>
      <c r="I313" s="30" t="s">
        <v>177</v>
      </c>
      <c r="J313" s="30" t="s">
        <v>177</v>
      </c>
      <c r="K313" s="14">
        <v>269252494181</v>
      </c>
    </row>
    <row r="314" spans="1:11" x14ac:dyDescent="0.3">
      <c r="A314" s="30">
        <v>9</v>
      </c>
      <c r="B314" s="15">
        <v>42983</v>
      </c>
      <c r="C314" s="17">
        <v>41229</v>
      </c>
      <c r="D314" s="17">
        <v>3061</v>
      </c>
      <c r="E314" s="30"/>
      <c r="F314" s="19" t="s">
        <v>14</v>
      </c>
      <c r="G314" s="30" t="s">
        <v>177</v>
      </c>
      <c r="H314" s="30" t="s">
        <v>177</v>
      </c>
      <c r="I314" s="30" t="s">
        <v>177</v>
      </c>
      <c r="J314" s="17">
        <f>K314</f>
        <v>1364152916</v>
      </c>
      <c r="K314" s="14">
        <v>1364152916</v>
      </c>
    </row>
    <row r="315" spans="1:11" x14ac:dyDescent="0.3">
      <c r="A315" s="30">
        <v>9</v>
      </c>
      <c r="B315" s="15">
        <v>42983</v>
      </c>
      <c r="C315" s="17">
        <v>41229</v>
      </c>
      <c r="D315" s="17">
        <v>3062</v>
      </c>
      <c r="E315" s="30"/>
      <c r="F315" s="19" t="s">
        <v>14</v>
      </c>
      <c r="G315" s="30" t="s">
        <v>177</v>
      </c>
      <c r="H315" s="30" t="s">
        <v>177</v>
      </c>
      <c r="I315" s="30" t="s">
        <v>177</v>
      </c>
      <c r="J315" s="17">
        <f>K315</f>
        <v>1240810441</v>
      </c>
      <c r="K315" s="14">
        <v>1240810441</v>
      </c>
    </row>
    <row r="316" spans="1:11" s="68" customFormat="1" x14ac:dyDescent="0.3">
      <c r="A316" s="83">
        <v>9</v>
      </c>
      <c r="B316" s="84">
        <v>42983</v>
      </c>
      <c r="C316" s="14">
        <v>41229</v>
      </c>
      <c r="D316" s="14">
        <v>3063</v>
      </c>
      <c r="E316" s="83"/>
      <c r="F316" s="19" t="s">
        <v>18</v>
      </c>
      <c r="G316" s="30" t="s">
        <v>177</v>
      </c>
      <c r="H316" s="30" t="s">
        <v>177</v>
      </c>
      <c r="I316" s="30" t="s">
        <v>177</v>
      </c>
      <c r="J316" s="14">
        <f>K316</f>
        <v>51359090</v>
      </c>
      <c r="K316" s="14">
        <v>51359090</v>
      </c>
    </row>
    <row r="317" spans="1:11" x14ac:dyDescent="0.3">
      <c r="A317" s="30">
        <v>9</v>
      </c>
      <c r="B317" s="15">
        <v>42990</v>
      </c>
      <c r="C317" s="17">
        <v>41234</v>
      </c>
      <c r="D317" s="17">
        <v>3075</v>
      </c>
      <c r="E317" s="30"/>
      <c r="F317" s="19" t="s">
        <v>37</v>
      </c>
      <c r="G317" s="30" t="s">
        <v>177</v>
      </c>
      <c r="H317" s="30" t="s">
        <v>177</v>
      </c>
      <c r="I317" s="29">
        <v>5286061201</v>
      </c>
      <c r="J317" s="29">
        <f>K317-I317</f>
        <v>234713938799</v>
      </c>
      <c r="K317" s="14">
        <v>240000000000</v>
      </c>
    </row>
    <row r="318" spans="1:11" ht="27.6" x14ac:dyDescent="0.3">
      <c r="A318" s="30">
        <v>9</v>
      </c>
      <c r="B318" s="15">
        <v>42990</v>
      </c>
      <c r="C318" s="17">
        <v>41234</v>
      </c>
      <c r="D318" s="17">
        <v>3076</v>
      </c>
      <c r="E318" s="30" t="s">
        <v>15</v>
      </c>
      <c r="F318" s="19" t="s">
        <v>21</v>
      </c>
      <c r="G318" s="39" t="s">
        <v>575</v>
      </c>
      <c r="H318" s="30" t="s">
        <v>177</v>
      </c>
      <c r="I318" s="30" t="s">
        <v>177</v>
      </c>
      <c r="J318" s="30" t="s">
        <v>177</v>
      </c>
      <c r="K318" s="14">
        <v>5000000000</v>
      </c>
    </row>
    <row r="319" spans="1:11" x14ac:dyDescent="0.3">
      <c r="A319" s="30">
        <v>9</v>
      </c>
      <c r="B319" s="15">
        <v>42997</v>
      </c>
      <c r="C319" s="17">
        <v>41239</v>
      </c>
      <c r="D319" s="17">
        <v>3082</v>
      </c>
      <c r="E319" s="30" t="s">
        <v>15</v>
      </c>
      <c r="F319" s="19" t="s">
        <v>14</v>
      </c>
      <c r="G319" s="30" t="s">
        <v>177</v>
      </c>
      <c r="H319" s="17"/>
      <c r="I319" s="24">
        <f>3500000000</f>
        <v>3500000000</v>
      </c>
      <c r="J319" s="29">
        <f>K319-I319</f>
        <v>7606750000</v>
      </c>
      <c r="K319" s="14">
        <v>11106750000</v>
      </c>
    </row>
    <row r="320" spans="1:11" x14ac:dyDescent="0.3">
      <c r="A320" s="125">
        <v>9</v>
      </c>
      <c r="B320" s="140">
        <v>42997</v>
      </c>
      <c r="C320" s="127">
        <v>6331</v>
      </c>
      <c r="D320" s="127">
        <v>3083</v>
      </c>
      <c r="E320" s="125" t="s">
        <v>15</v>
      </c>
      <c r="F320" s="19" t="s">
        <v>36</v>
      </c>
      <c r="G320" s="30" t="s">
        <v>177</v>
      </c>
      <c r="H320" s="73">
        <v>6887892595</v>
      </c>
      <c r="I320" s="29">
        <v>2954057218</v>
      </c>
      <c r="J320" s="131" t="s">
        <v>177</v>
      </c>
      <c r="K320" s="127">
        <v>4261844074758</v>
      </c>
    </row>
    <row r="321" spans="1:11" x14ac:dyDescent="0.3">
      <c r="A321" s="125"/>
      <c r="B321" s="140"/>
      <c r="C321" s="127"/>
      <c r="D321" s="127"/>
      <c r="E321" s="125"/>
      <c r="F321" s="19" t="s">
        <v>37</v>
      </c>
      <c r="G321" s="30" t="s">
        <v>177</v>
      </c>
      <c r="H321" s="73">
        <v>4524617916</v>
      </c>
      <c r="I321" s="29">
        <v>3614199103</v>
      </c>
      <c r="J321" s="132"/>
      <c r="K321" s="127"/>
    </row>
    <row r="322" spans="1:11" ht="27.6" x14ac:dyDescent="0.3">
      <c r="A322" s="125"/>
      <c r="B322" s="140"/>
      <c r="C322" s="127"/>
      <c r="D322" s="127"/>
      <c r="E322" s="125"/>
      <c r="F322" s="19" t="s">
        <v>97</v>
      </c>
      <c r="G322" s="30" t="s">
        <v>177</v>
      </c>
      <c r="H322" s="73">
        <v>8877231216</v>
      </c>
      <c r="I322" s="29">
        <v>2391556121</v>
      </c>
      <c r="J322" s="132"/>
      <c r="K322" s="127"/>
    </row>
    <row r="323" spans="1:11" x14ac:dyDescent="0.3">
      <c r="A323" s="125"/>
      <c r="B323" s="140"/>
      <c r="C323" s="127"/>
      <c r="D323" s="127"/>
      <c r="E323" s="125"/>
      <c r="F323" s="19" t="s">
        <v>132</v>
      </c>
      <c r="G323" s="30" t="s">
        <v>177</v>
      </c>
      <c r="H323" s="73">
        <v>403822210125</v>
      </c>
      <c r="I323" s="29">
        <v>151441219071</v>
      </c>
      <c r="J323" s="132"/>
      <c r="K323" s="127"/>
    </row>
    <row r="324" spans="1:11" x14ac:dyDescent="0.3">
      <c r="A324" s="125"/>
      <c r="B324" s="140"/>
      <c r="C324" s="127"/>
      <c r="D324" s="127"/>
      <c r="E324" s="125"/>
      <c r="F324" s="19" t="s">
        <v>133</v>
      </c>
      <c r="G324" s="30" t="s">
        <v>177</v>
      </c>
      <c r="H324" s="73">
        <v>631487176775</v>
      </c>
      <c r="I324" s="29">
        <v>355775000669</v>
      </c>
      <c r="J324" s="132"/>
      <c r="K324" s="127"/>
    </row>
    <row r="325" spans="1:11" ht="27.6" x14ac:dyDescent="0.3">
      <c r="A325" s="125"/>
      <c r="B325" s="140"/>
      <c r="C325" s="127"/>
      <c r="D325" s="127"/>
      <c r="E325" s="125"/>
      <c r="F325" s="19" t="s">
        <v>134</v>
      </c>
      <c r="G325" s="30" t="s">
        <v>177</v>
      </c>
      <c r="H325" s="73">
        <v>505771359477</v>
      </c>
      <c r="I325" s="29">
        <v>4740529175</v>
      </c>
      <c r="J325" s="132"/>
      <c r="K325" s="127"/>
    </row>
    <row r="326" spans="1:11" x14ac:dyDescent="0.3">
      <c r="A326" s="125"/>
      <c r="B326" s="140"/>
      <c r="C326" s="127"/>
      <c r="D326" s="127"/>
      <c r="E326" s="125"/>
      <c r="F326" s="19" t="s">
        <v>39</v>
      </c>
      <c r="G326" s="30" t="s">
        <v>177</v>
      </c>
      <c r="H326" s="73">
        <v>44854442368</v>
      </c>
      <c r="I326" s="29">
        <v>35956960765</v>
      </c>
      <c r="J326" s="132"/>
      <c r="K326" s="127"/>
    </row>
    <row r="327" spans="1:11" x14ac:dyDescent="0.3">
      <c r="A327" s="125"/>
      <c r="B327" s="140"/>
      <c r="C327" s="127"/>
      <c r="D327" s="127"/>
      <c r="E327" s="125"/>
      <c r="F327" s="19" t="s">
        <v>40</v>
      </c>
      <c r="G327" s="30" t="s">
        <v>177</v>
      </c>
      <c r="H327" s="73">
        <v>37539606707</v>
      </c>
      <c r="I327" s="29">
        <v>15702802602</v>
      </c>
      <c r="J327" s="132"/>
      <c r="K327" s="127"/>
    </row>
    <row r="328" spans="1:11" x14ac:dyDescent="0.3">
      <c r="A328" s="125"/>
      <c r="B328" s="140"/>
      <c r="C328" s="127"/>
      <c r="D328" s="127"/>
      <c r="E328" s="125"/>
      <c r="F328" s="19" t="s">
        <v>26</v>
      </c>
      <c r="G328" s="30" t="s">
        <v>177</v>
      </c>
      <c r="H328" s="73">
        <v>764273415</v>
      </c>
      <c r="I328" s="29">
        <v>706473344</v>
      </c>
      <c r="J328" s="132"/>
      <c r="K328" s="127"/>
    </row>
    <row r="329" spans="1:11" ht="27.6" x14ac:dyDescent="0.3">
      <c r="A329" s="125"/>
      <c r="B329" s="140"/>
      <c r="C329" s="127"/>
      <c r="D329" s="127"/>
      <c r="E329" s="125"/>
      <c r="F329" s="19" t="s">
        <v>135</v>
      </c>
      <c r="G329" s="30" t="s">
        <v>177</v>
      </c>
      <c r="H329" s="73">
        <v>120567395172</v>
      </c>
      <c r="I329" s="29">
        <v>56345203146</v>
      </c>
      <c r="J329" s="132"/>
      <c r="K329" s="127"/>
    </row>
    <row r="330" spans="1:11" x14ac:dyDescent="0.3">
      <c r="A330" s="125"/>
      <c r="B330" s="140"/>
      <c r="C330" s="127"/>
      <c r="D330" s="127"/>
      <c r="E330" s="125"/>
      <c r="F330" s="19" t="s">
        <v>42</v>
      </c>
      <c r="G330" s="30" t="s">
        <v>177</v>
      </c>
      <c r="H330" s="73">
        <v>1663612033</v>
      </c>
      <c r="I330" s="29">
        <v>1567521077</v>
      </c>
      <c r="J330" s="132"/>
      <c r="K330" s="127"/>
    </row>
    <row r="331" spans="1:11" x14ac:dyDescent="0.3">
      <c r="A331" s="125"/>
      <c r="B331" s="140"/>
      <c r="C331" s="127"/>
      <c r="D331" s="127"/>
      <c r="E331" s="125"/>
      <c r="F331" s="19" t="s">
        <v>28</v>
      </c>
      <c r="G331" s="30" t="s">
        <v>177</v>
      </c>
      <c r="H331" s="73">
        <v>25821377899</v>
      </c>
      <c r="I331" s="29">
        <v>13100955445</v>
      </c>
      <c r="J331" s="132"/>
      <c r="K331" s="127"/>
    </row>
    <row r="332" spans="1:11" ht="27.6" x14ac:dyDescent="0.3">
      <c r="A332" s="125"/>
      <c r="B332" s="140"/>
      <c r="C332" s="127"/>
      <c r="D332" s="127"/>
      <c r="E332" s="125"/>
      <c r="F332" s="19" t="s">
        <v>136</v>
      </c>
      <c r="G332" s="30" t="s">
        <v>177</v>
      </c>
      <c r="H332" s="73">
        <v>35540982160</v>
      </c>
      <c r="I332" s="29">
        <v>3785211702</v>
      </c>
      <c r="J332" s="132"/>
      <c r="K332" s="127"/>
    </row>
    <row r="333" spans="1:11" ht="27.6" x14ac:dyDescent="0.3">
      <c r="A333" s="125"/>
      <c r="B333" s="140"/>
      <c r="C333" s="127"/>
      <c r="D333" s="127"/>
      <c r="E333" s="125"/>
      <c r="F333" s="19" t="s">
        <v>143</v>
      </c>
      <c r="G333" s="30" t="s">
        <v>177</v>
      </c>
      <c r="H333" s="73">
        <v>23962079894</v>
      </c>
      <c r="I333" s="29">
        <v>1690735772</v>
      </c>
      <c r="J333" s="132"/>
      <c r="K333" s="127"/>
    </row>
    <row r="334" spans="1:11" ht="27.6" x14ac:dyDescent="0.3">
      <c r="A334" s="125"/>
      <c r="B334" s="140"/>
      <c r="C334" s="127"/>
      <c r="D334" s="127"/>
      <c r="E334" s="125"/>
      <c r="F334" s="19" t="s">
        <v>142</v>
      </c>
      <c r="G334" s="30" t="s">
        <v>177</v>
      </c>
      <c r="H334" s="73">
        <v>41023403480</v>
      </c>
      <c r="I334" s="29">
        <v>6719672168</v>
      </c>
      <c r="J334" s="132"/>
      <c r="K334" s="127"/>
    </row>
    <row r="335" spans="1:11" x14ac:dyDescent="0.3">
      <c r="A335" s="125"/>
      <c r="B335" s="140"/>
      <c r="C335" s="127"/>
      <c r="D335" s="127"/>
      <c r="E335" s="125"/>
      <c r="F335" s="19" t="s">
        <v>90</v>
      </c>
      <c r="G335" s="30" t="s">
        <v>177</v>
      </c>
      <c r="H335" s="73">
        <v>40147670</v>
      </c>
      <c r="I335" s="29">
        <v>38927202</v>
      </c>
      <c r="J335" s="132"/>
      <c r="K335" s="127"/>
    </row>
    <row r="336" spans="1:11" x14ac:dyDescent="0.3">
      <c r="A336" s="125"/>
      <c r="B336" s="140"/>
      <c r="C336" s="127"/>
      <c r="D336" s="127"/>
      <c r="E336" s="125"/>
      <c r="F336" s="19" t="s">
        <v>44</v>
      </c>
      <c r="G336" s="30" t="s">
        <v>177</v>
      </c>
      <c r="H336" s="73">
        <v>1972344566</v>
      </c>
      <c r="I336" s="29">
        <v>342143044</v>
      </c>
      <c r="J336" s="132"/>
      <c r="K336" s="127"/>
    </row>
    <row r="337" spans="1:11" x14ac:dyDescent="0.3">
      <c r="A337" s="125"/>
      <c r="B337" s="140"/>
      <c r="C337" s="127"/>
      <c r="D337" s="127"/>
      <c r="E337" s="125"/>
      <c r="F337" s="19" t="s">
        <v>141</v>
      </c>
      <c r="G337" s="30" t="s">
        <v>177</v>
      </c>
      <c r="H337" s="73">
        <v>33069989255</v>
      </c>
      <c r="I337" s="29">
        <v>333003228</v>
      </c>
      <c r="J337" s="132"/>
      <c r="K337" s="127"/>
    </row>
    <row r="338" spans="1:11" x14ac:dyDescent="0.3">
      <c r="A338" s="125"/>
      <c r="B338" s="140"/>
      <c r="C338" s="127"/>
      <c r="D338" s="127"/>
      <c r="E338" s="125"/>
      <c r="F338" s="19" t="s">
        <v>140</v>
      </c>
      <c r="G338" s="30" t="s">
        <v>177</v>
      </c>
      <c r="H338" s="73">
        <v>4263238964</v>
      </c>
      <c r="I338" s="29">
        <v>135328213</v>
      </c>
      <c r="J338" s="132"/>
      <c r="K338" s="127"/>
    </row>
    <row r="339" spans="1:11" x14ac:dyDescent="0.3">
      <c r="A339" s="125"/>
      <c r="B339" s="140"/>
      <c r="C339" s="127"/>
      <c r="D339" s="127"/>
      <c r="E339" s="125"/>
      <c r="F339" s="19" t="s">
        <v>619</v>
      </c>
      <c r="G339" s="30" t="s">
        <v>177</v>
      </c>
      <c r="H339" s="73">
        <v>32066507869</v>
      </c>
      <c r="I339" s="29">
        <v>20706807224</v>
      </c>
      <c r="J339" s="132"/>
      <c r="K339" s="127"/>
    </row>
    <row r="340" spans="1:11" x14ac:dyDescent="0.3">
      <c r="A340" s="125"/>
      <c r="B340" s="140"/>
      <c r="C340" s="127"/>
      <c r="D340" s="127"/>
      <c r="E340" s="125"/>
      <c r="F340" s="19" t="s">
        <v>137</v>
      </c>
      <c r="G340" s="30" t="s">
        <v>177</v>
      </c>
      <c r="H340" s="73">
        <v>20104074730</v>
      </c>
      <c r="I340" s="29">
        <v>3687635091</v>
      </c>
      <c r="J340" s="132"/>
      <c r="K340" s="127"/>
    </row>
    <row r="341" spans="1:11" ht="27.6" x14ac:dyDescent="0.3">
      <c r="A341" s="125"/>
      <c r="B341" s="140"/>
      <c r="C341" s="127"/>
      <c r="D341" s="127"/>
      <c r="E341" s="125"/>
      <c r="F341" s="19" t="s">
        <v>138</v>
      </c>
      <c r="G341" s="30" t="s">
        <v>177</v>
      </c>
      <c r="H341" s="73">
        <v>510614667</v>
      </c>
      <c r="I341" s="29">
        <v>509995267</v>
      </c>
      <c r="J341" s="132"/>
      <c r="K341" s="127"/>
    </row>
    <row r="342" spans="1:11" x14ac:dyDescent="0.3">
      <c r="A342" s="125"/>
      <c r="B342" s="140"/>
      <c r="C342" s="127"/>
      <c r="D342" s="127"/>
      <c r="E342" s="125"/>
      <c r="F342" s="19" t="s">
        <v>144</v>
      </c>
      <c r="G342" s="30" t="s">
        <v>177</v>
      </c>
      <c r="H342" s="73">
        <v>734464192134</v>
      </c>
      <c r="I342" s="29">
        <v>108127513532</v>
      </c>
      <c r="J342" s="132"/>
      <c r="K342" s="127"/>
    </row>
    <row r="343" spans="1:11" ht="27.6" x14ac:dyDescent="0.3">
      <c r="A343" s="125"/>
      <c r="B343" s="140"/>
      <c r="C343" s="127"/>
      <c r="D343" s="127"/>
      <c r="E343" s="125"/>
      <c r="F343" s="19" t="s">
        <v>145</v>
      </c>
      <c r="G343" s="30" t="s">
        <v>177</v>
      </c>
      <c r="H343" s="73">
        <v>17222684609</v>
      </c>
      <c r="I343" s="29">
        <v>3825240287</v>
      </c>
      <c r="J343" s="132"/>
      <c r="K343" s="127"/>
    </row>
    <row r="344" spans="1:11" ht="27.6" x14ac:dyDescent="0.3">
      <c r="A344" s="125"/>
      <c r="B344" s="140"/>
      <c r="C344" s="127"/>
      <c r="D344" s="127"/>
      <c r="E344" s="125"/>
      <c r="F344" s="19" t="s">
        <v>146</v>
      </c>
      <c r="G344" s="30" t="s">
        <v>177</v>
      </c>
      <c r="H344" s="73">
        <v>5316670854</v>
      </c>
      <c r="I344" s="29">
        <v>2737469238</v>
      </c>
      <c r="J344" s="132"/>
      <c r="K344" s="127"/>
    </row>
    <row r="345" spans="1:11" x14ac:dyDescent="0.3">
      <c r="A345" s="125"/>
      <c r="B345" s="140"/>
      <c r="C345" s="127"/>
      <c r="D345" s="127"/>
      <c r="E345" s="125"/>
      <c r="F345" s="19" t="s">
        <v>139</v>
      </c>
      <c r="G345" s="30" t="s">
        <v>177</v>
      </c>
      <c r="H345" s="73">
        <v>56162646587</v>
      </c>
      <c r="I345" s="29">
        <v>1990515312</v>
      </c>
      <c r="J345" s="132"/>
      <c r="K345" s="127"/>
    </row>
    <row r="346" spans="1:11" x14ac:dyDescent="0.3">
      <c r="A346" s="125"/>
      <c r="B346" s="140"/>
      <c r="C346" s="127"/>
      <c r="D346" s="127"/>
      <c r="E346" s="125"/>
      <c r="F346" s="19" t="s">
        <v>7</v>
      </c>
      <c r="G346" s="30" t="s">
        <v>177</v>
      </c>
      <c r="H346" s="73">
        <v>603491454</v>
      </c>
      <c r="I346" s="29">
        <v>3707913</v>
      </c>
      <c r="J346" s="132"/>
      <c r="K346" s="127"/>
    </row>
    <row r="347" spans="1:11" ht="27.6" x14ac:dyDescent="0.3">
      <c r="A347" s="125"/>
      <c r="B347" s="140"/>
      <c r="C347" s="127"/>
      <c r="D347" s="127"/>
      <c r="E347" s="125"/>
      <c r="F347" s="19" t="s">
        <v>147</v>
      </c>
      <c r="G347" s="30" t="s">
        <v>177</v>
      </c>
      <c r="H347" s="73">
        <v>62256387284</v>
      </c>
      <c r="I347" s="29">
        <v>24210466660</v>
      </c>
      <c r="J347" s="132"/>
      <c r="K347" s="127"/>
    </row>
    <row r="348" spans="1:11" x14ac:dyDescent="0.3">
      <c r="A348" s="125"/>
      <c r="B348" s="140"/>
      <c r="C348" s="127"/>
      <c r="D348" s="127"/>
      <c r="E348" s="125"/>
      <c r="F348" s="19" t="s">
        <v>48</v>
      </c>
      <c r="G348" s="30" t="s">
        <v>177</v>
      </c>
      <c r="H348" s="73">
        <v>10395525592</v>
      </c>
      <c r="I348" s="29">
        <v>6422608298</v>
      </c>
      <c r="J348" s="132"/>
      <c r="K348" s="127"/>
    </row>
    <row r="349" spans="1:11" x14ac:dyDescent="0.3">
      <c r="A349" s="125"/>
      <c r="B349" s="140"/>
      <c r="C349" s="127"/>
      <c r="D349" s="127"/>
      <c r="E349" s="125"/>
      <c r="F349" s="19" t="s">
        <v>49</v>
      </c>
      <c r="G349" s="30" t="s">
        <v>177</v>
      </c>
      <c r="H349" s="73">
        <v>5464212129</v>
      </c>
      <c r="I349" s="29">
        <v>336629336</v>
      </c>
      <c r="J349" s="132"/>
      <c r="K349" s="127"/>
    </row>
    <row r="350" spans="1:11" ht="27.6" x14ac:dyDescent="0.3">
      <c r="A350" s="125"/>
      <c r="B350" s="140"/>
      <c r="C350" s="127"/>
      <c r="D350" s="127"/>
      <c r="E350" s="125"/>
      <c r="F350" s="19" t="s">
        <v>148</v>
      </c>
      <c r="G350" s="30" t="s">
        <v>177</v>
      </c>
      <c r="H350" s="73">
        <v>844728264969</v>
      </c>
      <c r="I350" s="29">
        <v>2210844241</v>
      </c>
      <c r="J350" s="132"/>
      <c r="K350" s="127"/>
    </row>
    <row r="351" spans="1:11" ht="27.6" x14ac:dyDescent="0.3">
      <c r="A351" s="125"/>
      <c r="B351" s="140"/>
      <c r="C351" s="127"/>
      <c r="D351" s="127"/>
      <c r="E351" s="125"/>
      <c r="F351" s="19" t="s">
        <v>149</v>
      </c>
      <c r="G351" s="30" t="s">
        <v>177</v>
      </c>
      <c r="H351" s="73">
        <v>16829856653</v>
      </c>
      <c r="I351" s="24">
        <f>2545879674</f>
        <v>2545879674</v>
      </c>
      <c r="J351" s="132"/>
      <c r="K351" s="127"/>
    </row>
    <row r="352" spans="1:11" ht="27.6" x14ac:dyDescent="0.3">
      <c r="A352" s="125"/>
      <c r="B352" s="140"/>
      <c r="C352" s="127"/>
      <c r="D352" s="127"/>
      <c r="E352" s="125"/>
      <c r="F352" s="19" t="s">
        <v>150</v>
      </c>
      <c r="G352" s="30" t="s">
        <v>177</v>
      </c>
      <c r="H352" s="73">
        <v>20808414437</v>
      </c>
      <c r="I352" s="24">
        <f>3893010673</f>
        <v>3893010673</v>
      </c>
      <c r="J352" s="132"/>
      <c r="K352" s="127"/>
    </row>
    <row r="353" spans="1:11" ht="27.6" x14ac:dyDescent="0.3">
      <c r="A353" s="125"/>
      <c r="B353" s="140"/>
      <c r="C353" s="127"/>
      <c r="D353" s="127"/>
      <c r="E353" s="125"/>
      <c r="F353" s="19" t="s">
        <v>151</v>
      </c>
      <c r="G353" s="30" t="s">
        <v>177</v>
      </c>
      <c r="H353" s="73">
        <v>12312278772</v>
      </c>
      <c r="I353" s="24">
        <f>4183259335</f>
        <v>4183259335</v>
      </c>
      <c r="J353" s="132"/>
      <c r="K353" s="127"/>
    </row>
    <row r="354" spans="1:11" ht="27.6" x14ac:dyDescent="0.3">
      <c r="A354" s="125"/>
      <c r="B354" s="140"/>
      <c r="C354" s="127"/>
      <c r="D354" s="127"/>
      <c r="E354" s="125"/>
      <c r="F354" s="19" t="s">
        <v>152</v>
      </c>
      <c r="G354" s="30" t="s">
        <v>177</v>
      </c>
      <c r="H354" s="73">
        <v>252845495</v>
      </c>
      <c r="I354" s="24">
        <v>252571240</v>
      </c>
      <c r="J354" s="132"/>
      <c r="K354" s="127"/>
    </row>
    <row r="355" spans="1:11" ht="27.6" x14ac:dyDescent="0.3">
      <c r="A355" s="125"/>
      <c r="B355" s="140"/>
      <c r="C355" s="127"/>
      <c r="D355" s="127"/>
      <c r="E355" s="125"/>
      <c r="F355" s="19" t="s">
        <v>153</v>
      </c>
      <c r="G355" s="30" t="s">
        <v>177</v>
      </c>
      <c r="H355" s="73">
        <v>3737362485</v>
      </c>
      <c r="I355" s="24">
        <f>431266326</f>
        <v>431266326</v>
      </c>
      <c r="J355" s="132"/>
      <c r="K355" s="127"/>
    </row>
    <row r="356" spans="1:11" x14ac:dyDescent="0.3">
      <c r="A356" s="125"/>
      <c r="B356" s="140"/>
      <c r="C356" s="127"/>
      <c r="D356" s="127"/>
      <c r="E356" s="125"/>
      <c r="F356" s="19" t="s">
        <v>154</v>
      </c>
      <c r="G356" s="30" t="s">
        <v>177</v>
      </c>
      <c r="H356" s="73">
        <v>2418574481</v>
      </c>
      <c r="I356" s="24">
        <f>161755122</f>
        <v>161755122</v>
      </c>
      <c r="J356" s="132"/>
      <c r="K356" s="127"/>
    </row>
    <row r="357" spans="1:11" ht="27.6" x14ac:dyDescent="0.3">
      <c r="A357" s="125"/>
      <c r="B357" s="140"/>
      <c r="C357" s="127"/>
      <c r="D357" s="127"/>
      <c r="E357" s="125"/>
      <c r="F357" s="19" t="s">
        <v>155</v>
      </c>
      <c r="G357" s="30" t="s">
        <v>177</v>
      </c>
      <c r="H357" s="73">
        <v>168885831472</v>
      </c>
      <c r="I357" s="17"/>
      <c r="J357" s="132"/>
      <c r="K357" s="127"/>
    </row>
    <row r="358" spans="1:11" ht="27.6" x14ac:dyDescent="0.3">
      <c r="A358" s="125"/>
      <c r="B358" s="140"/>
      <c r="C358" s="127"/>
      <c r="D358" s="127"/>
      <c r="E358" s="125"/>
      <c r="F358" s="19" t="s">
        <v>156</v>
      </c>
      <c r="G358" s="30" t="s">
        <v>177</v>
      </c>
      <c r="H358" s="73">
        <v>22351769831</v>
      </c>
      <c r="I358" s="29">
        <v>581654262</v>
      </c>
      <c r="J358" s="132"/>
      <c r="K358" s="127"/>
    </row>
    <row r="359" spans="1:11" x14ac:dyDescent="0.3">
      <c r="A359" s="125"/>
      <c r="B359" s="140"/>
      <c r="C359" s="127"/>
      <c r="D359" s="127"/>
      <c r="E359" s="125"/>
      <c r="F359" s="19" t="s">
        <v>91</v>
      </c>
      <c r="G359" s="30" t="s">
        <v>177</v>
      </c>
      <c r="H359" s="73">
        <v>4000000000</v>
      </c>
      <c r="I359" s="29">
        <v>1467095324</v>
      </c>
      <c r="J359" s="132"/>
      <c r="K359" s="127"/>
    </row>
    <row r="360" spans="1:11" x14ac:dyDescent="0.3">
      <c r="A360" s="125"/>
      <c r="B360" s="140"/>
      <c r="C360" s="127"/>
      <c r="D360" s="127"/>
      <c r="E360" s="125"/>
      <c r="F360" s="19" t="s">
        <v>157</v>
      </c>
      <c r="G360" s="30" t="s">
        <v>177</v>
      </c>
      <c r="H360" s="73">
        <v>107287174555</v>
      </c>
      <c r="I360" s="24">
        <f>6574368029</f>
        <v>6574368029</v>
      </c>
      <c r="J360" s="132"/>
      <c r="K360" s="127"/>
    </row>
    <row r="361" spans="1:11" x14ac:dyDescent="0.3">
      <c r="A361" s="125"/>
      <c r="B361" s="140"/>
      <c r="C361" s="127"/>
      <c r="D361" s="127"/>
      <c r="E361" s="125"/>
      <c r="F361" s="19" t="s">
        <v>159</v>
      </c>
      <c r="G361" s="30" t="s">
        <v>177</v>
      </c>
      <c r="H361" s="73">
        <v>13454896439</v>
      </c>
      <c r="I361" s="24">
        <f>1163865158</f>
        <v>1163865158</v>
      </c>
      <c r="J361" s="132"/>
      <c r="K361" s="127"/>
    </row>
    <row r="362" spans="1:11" ht="27.6" x14ac:dyDescent="0.3">
      <c r="A362" s="125"/>
      <c r="B362" s="140"/>
      <c r="C362" s="127"/>
      <c r="D362" s="127"/>
      <c r="E362" s="125"/>
      <c r="F362" s="19" t="s">
        <v>158</v>
      </c>
      <c r="G362" s="30" t="s">
        <v>177</v>
      </c>
      <c r="H362" s="73">
        <v>167756361573</v>
      </c>
      <c r="I362" s="29">
        <v>43387086877</v>
      </c>
      <c r="J362" s="133"/>
      <c r="K362" s="127"/>
    </row>
    <row r="363" spans="1:11" x14ac:dyDescent="0.3">
      <c r="A363" s="30">
        <v>10</v>
      </c>
      <c r="B363" s="15">
        <v>43016</v>
      </c>
      <c r="C363" s="17">
        <v>6334</v>
      </c>
      <c r="D363" s="17">
        <v>3098</v>
      </c>
      <c r="E363" s="30" t="s">
        <v>15</v>
      </c>
      <c r="F363" s="19" t="s">
        <v>37</v>
      </c>
      <c r="G363" s="30" t="s">
        <v>177</v>
      </c>
      <c r="H363" s="17"/>
      <c r="I363" s="17"/>
      <c r="J363" s="17">
        <f>K363</f>
        <v>44728000000</v>
      </c>
      <c r="K363" s="17">
        <v>44728000000</v>
      </c>
    </row>
    <row r="364" spans="1:11" x14ac:dyDescent="0.3">
      <c r="A364" s="30">
        <v>10</v>
      </c>
      <c r="B364" s="15">
        <v>43032</v>
      </c>
      <c r="C364" s="17">
        <v>41263</v>
      </c>
      <c r="D364" s="17">
        <v>3111</v>
      </c>
      <c r="E364" s="30" t="s">
        <v>15</v>
      </c>
      <c r="F364" s="19" t="s">
        <v>7</v>
      </c>
      <c r="G364" s="20" t="s">
        <v>12</v>
      </c>
      <c r="H364" s="17">
        <f>K364</f>
        <v>1996763090</v>
      </c>
      <c r="I364" s="17"/>
      <c r="J364" s="30"/>
      <c r="K364" s="17">
        <v>1996763090</v>
      </c>
    </row>
    <row r="365" spans="1:11" ht="27.6" x14ac:dyDescent="0.3">
      <c r="A365" s="131">
        <v>10</v>
      </c>
      <c r="B365" s="134">
        <v>43032</v>
      </c>
      <c r="C365" s="128">
        <v>41263</v>
      </c>
      <c r="D365" s="128">
        <v>3112</v>
      </c>
      <c r="E365" s="131" t="s">
        <v>15</v>
      </c>
      <c r="F365" s="131" t="s">
        <v>14</v>
      </c>
      <c r="G365" s="22" t="s">
        <v>69</v>
      </c>
      <c r="H365" s="17">
        <v>520000000</v>
      </c>
      <c r="I365" s="142">
        <v>5040951679</v>
      </c>
      <c r="J365" s="127">
        <f>K365-12635951679</f>
        <v>63497245</v>
      </c>
      <c r="K365" s="127">
        <v>12699448924</v>
      </c>
    </row>
    <row r="366" spans="1:11" ht="27.6" x14ac:dyDescent="0.3">
      <c r="A366" s="132"/>
      <c r="B366" s="135"/>
      <c r="C366" s="129"/>
      <c r="D366" s="129"/>
      <c r="E366" s="132"/>
      <c r="F366" s="132"/>
      <c r="G366" s="22" t="s">
        <v>68</v>
      </c>
      <c r="H366" s="17">
        <v>300000000</v>
      </c>
      <c r="I366" s="142"/>
      <c r="J366" s="125"/>
      <c r="K366" s="127"/>
    </row>
    <row r="367" spans="1:11" x14ac:dyDescent="0.3">
      <c r="A367" s="132"/>
      <c r="B367" s="135"/>
      <c r="C367" s="129"/>
      <c r="D367" s="129"/>
      <c r="E367" s="132"/>
      <c r="F367" s="132"/>
      <c r="G367" s="22" t="s">
        <v>70</v>
      </c>
      <c r="H367" s="17">
        <v>60000000</v>
      </c>
      <c r="I367" s="142"/>
      <c r="J367" s="125"/>
      <c r="K367" s="127"/>
    </row>
    <row r="368" spans="1:11" ht="27.6" x14ac:dyDescent="0.3">
      <c r="A368" s="132"/>
      <c r="B368" s="135"/>
      <c r="C368" s="129"/>
      <c r="D368" s="129"/>
      <c r="E368" s="132"/>
      <c r="F368" s="132"/>
      <c r="G368" s="22" t="s">
        <v>95</v>
      </c>
      <c r="H368" s="17">
        <v>100000000</v>
      </c>
      <c r="I368" s="142"/>
      <c r="J368" s="125"/>
      <c r="K368" s="127"/>
    </row>
    <row r="369" spans="1:11" x14ac:dyDescent="0.3">
      <c r="A369" s="132"/>
      <c r="B369" s="135"/>
      <c r="C369" s="129"/>
      <c r="D369" s="129"/>
      <c r="E369" s="132"/>
      <c r="F369" s="132"/>
      <c r="G369" s="22" t="s">
        <v>66</v>
      </c>
      <c r="H369" s="17">
        <v>400000000</v>
      </c>
      <c r="I369" s="142"/>
      <c r="J369" s="125"/>
      <c r="K369" s="127"/>
    </row>
    <row r="370" spans="1:11" x14ac:dyDescent="0.3">
      <c r="A370" s="132"/>
      <c r="B370" s="135"/>
      <c r="C370" s="129"/>
      <c r="D370" s="129"/>
      <c r="E370" s="132"/>
      <c r="F370" s="132"/>
      <c r="G370" s="22" t="s">
        <v>160</v>
      </c>
      <c r="H370" s="17">
        <v>25000000</v>
      </c>
      <c r="I370" s="142"/>
      <c r="J370" s="125"/>
      <c r="K370" s="127"/>
    </row>
    <row r="371" spans="1:11" x14ac:dyDescent="0.3">
      <c r="A371" s="132"/>
      <c r="B371" s="135"/>
      <c r="C371" s="129"/>
      <c r="D371" s="129"/>
      <c r="E371" s="132"/>
      <c r="F371" s="132"/>
      <c r="G371" s="22" t="s">
        <v>65</v>
      </c>
      <c r="H371" s="17">
        <v>160000000</v>
      </c>
      <c r="I371" s="142"/>
      <c r="J371" s="125"/>
      <c r="K371" s="127"/>
    </row>
    <row r="372" spans="1:11" x14ac:dyDescent="0.3">
      <c r="A372" s="132"/>
      <c r="B372" s="135"/>
      <c r="C372" s="129"/>
      <c r="D372" s="129"/>
      <c r="E372" s="132"/>
      <c r="F372" s="132"/>
      <c r="G372" s="22" t="s">
        <v>62</v>
      </c>
      <c r="H372" s="17">
        <v>2500000000</v>
      </c>
      <c r="I372" s="142"/>
      <c r="J372" s="125"/>
      <c r="K372" s="127"/>
    </row>
    <row r="373" spans="1:11" x14ac:dyDescent="0.3">
      <c r="A373" s="132"/>
      <c r="B373" s="135"/>
      <c r="C373" s="129"/>
      <c r="D373" s="129"/>
      <c r="E373" s="132"/>
      <c r="F373" s="132"/>
      <c r="G373" s="38" t="s">
        <v>63</v>
      </c>
      <c r="H373" s="17">
        <v>30000000</v>
      </c>
      <c r="I373" s="142"/>
      <c r="J373" s="125"/>
      <c r="K373" s="127"/>
    </row>
    <row r="374" spans="1:11" x14ac:dyDescent="0.3">
      <c r="A374" s="132"/>
      <c r="B374" s="135"/>
      <c r="C374" s="129"/>
      <c r="D374" s="129"/>
      <c r="E374" s="132"/>
      <c r="F374" s="132"/>
      <c r="G374" s="38" t="s">
        <v>161</v>
      </c>
      <c r="H374" s="17">
        <v>2500000000</v>
      </c>
      <c r="I374" s="142"/>
      <c r="J374" s="125"/>
      <c r="K374" s="127"/>
    </row>
    <row r="375" spans="1:11" ht="27.6" x14ac:dyDescent="0.3">
      <c r="A375" s="133"/>
      <c r="B375" s="136"/>
      <c r="C375" s="130"/>
      <c r="D375" s="130"/>
      <c r="E375" s="133"/>
      <c r="F375" s="133"/>
      <c r="G375" s="38" t="s">
        <v>71</v>
      </c>
      <c r="H375" s="17">
        <v>1000000000</v>
      </c>
      <c r="I375" s="142"/>
      <c r="J375" s="125"/>
      <c r="K375" s="127"/>
    </row>
    <row r="376" spans="1:11" ht="27.6" x14ac:dyDescent="0.3">
      <c r="A376" s="30">
        <v>10</v>
      </c>
      <c r="B376" s="15">
        <v>43032</v>
      </c>
      <c r="C376" s="17">
        <v>41263</v>
      </c>
      <c r="D376" s="17">
        <v>3113</v>
      </c>
      <c r="E376" s="30" t="s">
        <v>15</v>
      </c>
      <c r="F376" s="131" t="s">
        <v>14</v>
      </c>
      <c r="G376" s="38" t="s">
        <v>71</v>
      </c>
      <c r="H376" s="17">
        <f>400000000+600000000</f>
        <v>1000000000</v>
      </c>
      <c r="I376" s="127"/>
      <c r="J376" s="125"/>
      <c r="K376" s="127">
        <v>1500000000</v>
      </c>
    </row>
    <row r="377" spans="1:11" x14ac:dyDescent="0.3">
      <c r="A377" s="30"/>
      <c r="B377" s="30"/>
      <c r="C377" s="17"/>
      <c r="D377" s="17"/>
      <c r="E377" s="30" t="s">
        <v>15</v>
      </c>
      <c r="F377" s="133"/>
      <c r="G377" s="38" t="s">
        <v>161</v>
      </c>
      <c r="H377" s="17">
        <v>500000000</v>
      </c>
      <c r="I377" s="127"/>
      <c r="J377" s="125"/>
      <c r="K377" s="127"/>
    </row>
    <row r="378" spans="1:11" x14ac:dyDescent="0.3">
      <c r="A378" s="30">
        <v>10</v>
      </c>
      <c r="B378" s="15">
        <v>43032</v>
      </c>
      <c r="C378" s="17">
        <v>41263</v>
      </c>
      <c r="D378" s="17">
        <v>3114</v>
      </c>
      <c r="E378" s="30" t="s">
        <v>15</v>
      </c>
      <c r="F378" s="10" t="s">
        <v>18</v>
      </c>
      <c r="G378" s="30" t="s">
        <v>177</v>
      </c>
      <c r="H378" s="30" t="s">
        <v>177</v>
      </c>
      <c r="I378" s="17">
        <v>146870500</v>
      </c>
      <c r="J378" s="17">
        <f>K378-I378</f>
        <v>500000000</v>
      </c>
      <c r="K378" s="17">
        <v>646870500</v>
      </c>
    </row>
    <row r="379" spans="1:11" x14ac:dyDescent="0.3">
      <c r="A379" s="30">
        <v>10</v>
      </c>
      <c r="B379" s="15">
        <v>43032</v>
      </c>
      <c r="C379" s="17">
        <v>41263</v>
      </c>
      <c r="D379" s="17">
        <v>3115</v>
      </c>
      <c r="E379" s="30" t="s">
        <v>15</v>
      </c>
      <c r="F379" s="10" t="s">
        <v>18</v>
      </c>
      <c r="G379" s="30" t="s">
        <v>177</v>
      </c>
      <c r="H379" s="30" t="s">
        <v>177</v>
      </c>
      <c r="I379" s="17">
        <v>387952650</v>
      </c>
      <c r="J379" s="17">
        <f>K379-I379</f>
        <v>510000000</v>
      </c>
      <c r="K379" s="17">
        <v>897952650</v>
      </c>
    </row>
    <row r="380" spans="1:11" x14ac:dyDescent="0.3">
      <c r="A380" s="125">
        <v>10</v>
      </c>
      <c r="B380" s="140">
        <v>43032</v>
      </c>
      <c r="C380" s="127">
        <v>41263</v>
      </c>
      <c r="D380" s="127">
        <v>3116</v>
      </c>
      <c r="E380" s="125" t="s">
        <v>15</v>
      </c>
      <c r="F380" s="125" t="s">
        <v>18</v>
      </c>
      <c r="G380" s="20" t="s">
        <v>112</v>
      </c>
      <c r="H380" s="17">
        <v>8162293</v>
      </c>
      <c r="I380" s="127" t="s">
        <v>177</v>
      </c>
      <c r="J380" s="127">
        <v>36253000</v>
      </c>
      <c r="K380" s="127">
        <v>54415293</v>
      </c>
    </row>
    <row r="381" spans="1:11" ht="27.6" x14ac:dyDescent="0.3">
      <c r="A381" s="125"/>
      <c r="B381" s="140"/>
      <c r="C381" s="127"/>
      <c r="D381" s="127"/>
      <c r="E381" s="125"/>
      <c r="F381" s="125"/>
      <c r="G381" s="20" t="s">
        <v>162</v>
      </c>
      <c r="H381" s="17">
        <v>10000000</v>
      </c>
      <c r="I381" s="127"/>
      <c r="J381" s="125"/>
      <c r="K381" s="127"/>
    </row>
    <row r="382" spans="1:11" ht="27.6" x14ac:dyDescent="0.3">
      <c r="A382" s="30">
        <v>10</v>
      </c>
      <c r="B382" s="15">
        <v>43032</v>
      </c>
      <c r="C382" s="17">
        <v>41263</v>
      </c>
      <c r="D382" s="17">
        <v>3117</v>
      </c>
      <c r="E382" s="30" t="s">
        <v>15</v>
      </c>
      <c r="F382" s="11" t="s">
        <v>20</v>
      </c>
      <c r="G382" s="30" t="s">
        <v>177</v>
      </c>
      <c r="H382" s="30" t="s">
        <v>177</v>
      </c>
      <c r="I382" s="24">
        <f>1631433356</f>
        <v>1631433356</v>
      </c>
      <c r="J382" s="29">
        <f>K382-I382</f>
        <v>143285133</v>
      </c>
      <c r="K382" s="17">
        <v>1774718489</v>
      </c>
    </row>
    <row r="383" spans="1:11" ht="27.6" x14ac:dyDescent="0.3">
      <c r="A383" s="30">
        <v>10</v>
      </c>
      <c r="B383" s="15">
        <v>43032</v>
      </c>
      <c r="C383" s="17">
        <v>6335</v>
      </c>
      <c r="D383" s="17">
        <v>3121</v>
      </c>
      <c r="E383" s="30" t="s">
        <v>15</v>
      </c>
      <c r="F383" s="67" t="s">
        <v>41</v>
      </c>
      <c r="G383" s="30" t="s">
        <v>35</v>
      </c>
      <c r="H383" s="30" t="s">
        <v>177</v>
      </c>
      <c r="I383" s="30" t="s">
        <v>177</v>
      </c>
      <c r="J383" s="30" t="s">
        <v>177</v>
      </c>
      <c r="K383" s="17">
        <v>471903664842</v>
      </c>
    </row>
    <row r="384" spans="1:11" x14ac:dyDescent="0.3">
      <c r="A384" s="125">
        <v>10</v>
      </c>
      <c r="B384" s="140">
        <v>43033</v>
      </c>
      <c r="C384" s="127">
        <v>6336</v>
      </c>
      <c r="D384" s="127">
        <v>3123</v>
      </c>
      <c r="E384" s="125" t="s">
        <v>15</v>
      </c>
      <c r="F384" s="19" t="s">
        <v>36</v>
      </c>
      <c r="G384" s="30" t="s">
        <v>177</v>
      </c>
      <c r="H384" s="74">
        <v>27269655511</v>
      </c>
      <c r="I384" s="29">
        <v>2639366577</v>
      </c>
      <c r="J384" s="127"/>
      <c r="K384" s="127">
        <v>8162317223858</v>
      </c>
    </row>
    <row r="385" spans="1:11" x14ac:dyDescent="0.3">
      <c r="A385" s="125"/>
      <c r="B385" s="140"/>
      <c r="C385" s="127"/>
      <c r="D385" s="127"/>
      <c r="E385" s="125"/>
      <c r="F385" s="19" t="s">
        <v>37</v>
      </c>
      <c r="G385" s="30" t="s">
        <v>177</v>
      </c>
      <c r="H385" s="74">
        <v>30486236757</v>
      </c>
      <c r="I385" s="29">
        <v>25479419582</v>
      </c>
      <c r="J385" s="125"/>
      <c r="K385" s="127"/>
    </row>
    <row r="386" spans="1:11" ht="27.6" x14ac:dyDescent="0.3">
      <c r="A386" s="125"/>
      <c r="B386" s="140"/>
      <c r="C386" s="127"/>
      <c r="D386" s="127"/>
      <c r="E386" s="125"/>
      <c r="F386" s="19" t="s">
        <v>97</v>
      </c>
      <c r="G386" s="30" t="s">
        <v>177</v>
      </c>
      <c r="H386" s="74">
        <v>25391510745</v>
      </c>
      <c r="I386" s="29">
        <v>11856419313</v>
      </c>
      <c r="J386" s="125"/>
      <c r="K386" s="127"/>
    </row>
    <row r="387" spans="1:11" x14ac:dyDescent="0.3">
      <c r="A387" s="125"/>
      <c r="B387" s="140"/>
      <c r="C387" s="127"/>
      <c r="D387" s="127"/>
      <c r="E387" s="125"/>
      <c r="F387" s="19" t="s">
        <v>24</v>
      </c>
      <c r="G387" s="30" t="s">
        <v>177</v>
      </c>
      <c r="H387" s="74">
        <v>580496442794</v>
      </c>
      <c r="I387" s="29">
        <v>264103041928</v>
      </c>
      <c r="J387" s="125"/>
      <c r="K387" s="127"/>
    </row>
    <row r="388" spans="1:11" x14ac:dyDescent="0.3">
      <c r="A388" s="125"/>
      <c r="B388" s="140"/>
      <c r="C388" s="127"/>
      <c r="D388" s="127"/>
      <c r="E388" s="125"/>
      <c r="F388" s="19" t="s">
        <v>25</v>
      </c>
      <c r="G388" s="30" t="s">
        <v>177</v>
      </c>
      <c r="H388" s="74">
        <v>1320268679449</v>
      </c>
      <c r="I388" s="29">
        <v>715922412888</v>
      </c>
      <c r="J388" s="125"/>
      <c r="K388" s="127"/>
    </row>
    <row r="389" spans="1:11" ht="27.6" x14ac:dyDescent="0.3">
      <c r="A389" s="125"/>
      <c r="B389" s="140"/>
      <c r="C389" s="127"/>
      <c r="D389" s="127"/>
      <c r="E389" s="125"/>
      <c r="F389" s="19" t="s">
        <v>163</v>
      </c>
      <c r="G389" s="30" t="s">
        <v>177</v>
      </c>
      <c r="H389" s="74">
        <v>2070228644992</v>
      </c>
      <c r="I389" s="29">
        <v>9904775973</v>
      </c>
      <c r="J389" s="125"/>
      <c r="K389" s="127"/>
    </row>
    <row r="390" spans="1:11" x14ac:dyDescent="0.3">
      <c r="A390" s="125"/>
      <c r="B390" s="140"/>
      <c r="C390" s="127"/>
      <c r="D390" s="127"/>
      <c r="E390" s="125"/>
      <c r="F390" s="19" t="s">
        <v>39</v>
      </c>
      <c r="G390" s="30" t="s">
        <v>177</v>
      </c>
      <c r="H390" s="74">
        <v>96135648057</v>
      </c>
      <c r="I390" s="29">
        <v>82218557341</v>
      </c>
      <c r="J390" s="125"/>
      <c r="K390" s="127"/>
    </row>
    <row r="391" spans="1:11" x14ac:dyDescent="0.3">
      <c r="A391" s="125"/>
      <c r="B391" s="140"/>
      <c r="C391" s="127"/>
      <c r="D391" s="127"/>
      <c r="E391" s="125"/>
      <c r="F391" s="19" t="s">
        <v>40</v>
      </c>
      <c r="G391" s="30" t="s">
        <v>177</v>
      </c>
      <c r="H391" s="74">
        <v>70007434509</v>
      </c>
      <c r="I391" s="29">
        <v>42613998728</v>
      </c>
      <c r="J391" s="125"/>
      <c r="K391" s="127"/>
    </row>
    <row r="392" spans="1:11" x14ac:dyDescent="0.3">
      <c r="A392" s="125"/>
      <c r="B392" s="140"/>
      <c r="C392" s="127"/>
      <c r="D392" s="127"/>
      <c r="E392" s="125"/>
      <c r="F392" s="19" t="s">
        <v>26</v>
      </c>
      <c r="G392" s="30" t="s">
        <v>177</v>
      </c>
      <c r="H392" s="74">
        <v>1571243074</v>
      </c>
      <c r="I392" s="29">
        <v>1350172578</v>
      </c>
      <c r="J392" s="125"/>
      <c r="K392" s="127"/>
    </row>
    <row r="393" spans="1:11" ht="27.6" x14ac:dyDescent="0.3">
      <c r="A393" s="125"/>
      <c r="B393" s="140"/>
      <c r="C393" s="127"/>
      <c r="D393" s="127"/>
      <c r="E393" s="125"/>
      <c r="F393" s="19" t="s">
        <v>41</v>
      </c>
      <c r="G393" s="30" t="s">
        <v>177</v>
      </c>
      <c r="H393" s="74">
        <v>314161969148</v>
      </c>
      <c r="I393" s="29">
        <v>128916566210</v>
      </c>
      <c r="J393" s="125"/>
      <c r="K393" s="127"/>
    </row>
    <row r="394" spans="1:11" x14ac:dyDescent="0.3">
      <c r="A394" s="125"/>
      <c r="B394" s="140"/>
      <c r="C394" s="127"/>
      <c r="D394" s="127"/>
      <c r="E394" s="125"/>
      <c r="F394" s="19" t="s">
        <v>42</v>
      </c>
      <c r="G394" s="30" t="s">
        <v>177</v>
      </c>
      <c r="H394" s="74">
        <v>3091470031</v>
      </c>
      <c r="I394" s="29">
        <v>2803003913</v>
      </c>
      <c r="J394" s="125"/>
      <c r="K394" s="127"/>
    </row>
    <row r="395" spans="1:11" x14ac:dyDescent="0.3">
      <c r="A395" s="125"/>
      <c r="B395" s="140"/>
      <c r="C395" s="127"/>
      <c r="D395" s="127"/>
      <c r="E395" s="125"/>
      <c r="F395" s="19" t="s">
        <v>28</v>
      </c>
      <c r="G395" s="30" t="s">
        <v>177</v>
      </c>
      <c r="H395" s="74">
        <v>40927237793</v>
      </c>
      <c r="I395" s="29">
        <v>21644121649</v>
      </c>
      <c r="J395" s="125"/>
      <c r="K395" s="127"/>
    </row>
    <row r="396" spans="1:11" ht="27.6" x14ac:dyDescent="0.3">
      <c r="A396" s="125"/>
      <c r="B396" s="140"/>
      <c r="C396" s="127"/>
      <c r="D396" s="127"/>
      <c r="E396" s="125"/>
      <c r="F396" s="19" t="s">
        <v>98</v>
      </c>
      <c r="G396" s="30" t="s">
        <v>177</v>
      </c>
      <c r="H396" s="74">
        <v>60600900856</v>
      </c>
      <c r="I396" s="29">
        <v>5744264358</v>
      </c>
      <c r="J396" s="125"/>
      <c r="K396" s="127"/>
    </row>
    <row r="397" spans="1:11" ht="27.6" x14ac:dyDescent="0.3">
      <c r="A397" s="125"/>
      <c r="B397" s="140"/>
      <c r="C397" s="127"/>
      <c r="D397" s="127"/>
      <c r="E397" s="125"/>
      <c r="F397" s="19" t="s">
        <v>131</v>
      </c>
      <c r="G397" s="30" t="s">
        <v>177</v>
      </c>
      <c r="H397" s="74">
        <v>47402381723</v>
      </c>
      <c r="I397" s="29">
        <v>4082548484</v>
      </c>
      <c r="J397" s="125"/>
      <c r="K397" s="127"/>
    </row>
    <row r="398" spans="1:11" ht="27.6" x14ac:dyDescent="0.3">
      <c r="A398" s="125"/>
      <c r="B398" s="140"/>
      <c r="C398" s="127"/>
      <c r="D398" s="127"/>
      <c r="E398" s="125"/>
      <c r="F398" s="19" t="s">
        <v>130</v>
      </c>
      <c r="G398" s="30" t="s">
        <v>177</v>
      </c>
      <c r="H398" s="74">
        <v>96997353571</v>
      </c>
      <c r="I398" s="29">
        <v>13219159431</v>
      </c>
      <c r="J398" s="125"/>
      <c r="K398" s="127"/>
    </row>
    <row r="399" spans="1:11" x14ac:dyDescent="0.3">
      <c r="A399" s="125"/>
      <c r="B399" s="140"/>
      <c r="C399" s="127"/>
      <c r="D399" s="127"/>
      <c r="E399" s="125"/>
      <c r="F399" s="19" t="s">
        <v>90</v>
      </c>
      <c r="G399" s="30" t="s">
        <v>177</v>
      </c>
      <c r="H399" s="74">
        <v>98768482</v>
      </c>
      <c r="I399" s="29">
        <v>96466212</v>
      </c>
      <c r="J399" s="125"/>
      <c r="K399" s="127"/>
    </row>
    <row r="400" spans="1:11" x14ac:dyDescent="0.3">
      <c r="A400" s="125"/>
      <c r="B400" s="140"/>
      <c r="C400" s="127"/>
      <c r="D400" s="127"/>
      <c r="E400" s="125"/>
      <c r="F400" s="19" t="s">
        <v>44</v>
      </c>
      <c r="G400" s="30" t="s">
        <v>177</v>
      </c>
      <c r="H400" s="74">
        <v>521523459</v>
      </c>
      <c r="I400" s="29">
        <v>508292142</v>
      </c>
      <c r="J400" s="125"/>
      <c r="K400" s="127"/>
    </row>
    <row r="401" spans="1:11" x14ac:dyDescent="0.3">
      <c r="A401" s="125"/>
      <c r="B401" s="140"/>
      <c r="C401" s="127"/>
      <c r="D401" s="127"/>
      <c r="E401" s="125"/>
      <c r="F401" s="19" t="s">
        <v>165</v>
      </c>
      <c r="G401" s="30" t="s">
        <v>177</v>
      </c>
      <c r="H401" s="74">
        <v>83079259154</v>
      </c>
      <c r="I401" s="29">
        <v>582732584</v>
      </c>
      <c r="J401" s="125"/>
      <c r="K401" s="127"/>
    </row>
    <row r="402" spans="1:11" x14ac:dyDescent="0.3">
      <c r="A402" s="125"/>
      <c r="B402" s="140"/>
      <c r="C402" s="127"/>
      <c r="D402" s="127"/>
      <c r="E402" s="125"/>
      <c r="F402" s="19" t="s">
        <v>164</v>
      </c>
      <c r="G402" s="30" t="s">
        <v>177</v>
      </c>
      <c r="H402" s="74">
        <v>4126024601</v>
      </c>
      <c r="I402" s="29">
        <v>772547429</v>
      </c>
      <c r="J402" s="125"/>
      <c r="K402" s="127"/>
    </row>
    <row r="403" spans="1:11" x14ac:dyDescent="0.3">
      <c r="A403" s="125"/>
      <c r="B403" s="140"/>
      <c r="C403" s="127"/>
      <c r="D403" s="127"/>
      <c r="E403" s="125"/>
      <c r="F403" s="19" t="s">
        <v>580</v>
      </c>
      <c r="G403" s="30" t="s">
        <v>177</v>
      </c>
      <c r="H403" s="74">
        <v>18691764620</v>
      </c>
      <c r="I403" s="29">
        <v>11135128681</v>
      </c>
      <c r="J403" s="125"/>
      <c r="K403" s="127"/>
    </row>
    <row r="404" spans="1:11" x14ac:dyDescent="0.3">
      <c r="A404" s="125"/>
      <c r="B404" s="140"/>
      <c r="C404" s="127"/>
      <c r="D404" s="127"/>
      <c r="E404" s="125"/>
      <c r="F404" s="19" t="s">
        <v>101</v>
      </c>
      <c r="G404" s="30" t="s">
        <v>177</v>
      </c>
      <c r="H404" s="74">
        <v>36361764158</v>
      </c>
      <c r="I404" s="29">
        <v>5661520000</v>
      </c>
      <c r="J404" s="125"/>
      <c r="K404" s="127"/>
    </row>
    <row r="405" spans="1:11" ht="27.6" x14ac:dyDescent="0.3">
      <c r="A405" s="125"/>
      <c r="B405" s="140"/>
      <c r="C405" s="127"/>
      <c r="D405" s="127"/>
      <c r="E405" s="125"/>
      <c r="F405" s="19" t="s">
        <v>102</v>
      </c>
      <c r="G405" s="30" t="s">
        <v>177</v>
      </c>
      <c r="H405" s="74">
        <v>14541624404</v>
      </c>
      <c r="I405" s="29">
        <v>988412222</v>
      </c>
      <c r="J405" s="125"/>
      <c r="K405" s="127"/>
    </row>
    <row r="406" spans="1:11" x14ac:dyDescent="0.3">
      <c r="A406" s="125"/>
      <c r="B406" s="140"/>
      <c r="C406" s="127"/>
      <c r="D406" s="127"/>
      <c r="E406" s="125"/>
      <c r="F406" s="19" t="s">
        <v>128</v>
      </c>
      <c r="G406" s="30" t="s">
        <v>177</v>
      </c>
      <c r="H406" s="74">
        <v>891319971045</v>
      </c>
      <c r="I406" s="29">
        <v>315916837932</v>
      </c>
      <c r="J406" s="125"/>
      <c r="K406" s="127"/>
    </row>
    <row r="407" spans="1:11" ht="27.6" x14ac:dyDescent="0.3">
      <c r="A407" s="125"/>
      <c r="B407" s="140"/>
      <c r="C407" s="127"/>
      <c r="D407" s="127"/>
      <c r="E407" s="125"/>
      <c r="F407" s="19" t="s">
        <v>166</v>
      </c>
      <c r="G407" s="30" t="s">
        <v>177</v>
      </c>
      <c r="H407" s="74">
        <v>23050147157</v>
      </c>
      <c r="I407" s="29">
        <v>8173873802</v>
      </c>
      <c r="J407" s="125"/>
      <c r="K407" s="127"/>
    </row>
    <row r="408" spans="1:11" ht="27.6" x14ac:dyDescent="0.3">
      <c r="A408" s="125"/>
      <c r="B408" s="140"/>
      <c r="C408" s="127"/>
      <c r="D408" s="127"/>
      <c r="E408" s="125"/>
      <c r="F408" s="19" t="s">
        <v>126</v>
      </c>
      <c r="G408" s="30" t="s">
        <v>177</v>
      </c>
      <c r="H408" s="74">
        <v>7023883867</v>
      </c>
      <c r="I408" s="29">
        <v>1613356927</v>
      </c>
      <c r="J408" s="125"/>
      <c r="K408" s="127"/>
    </row>
    <row r="409" spans="1:11" x14ac:dyDescent="0.3">
      <c r="A409" s="125"/>
      <c r="B409" s="140"/>
      <c r="C409" s="127"/>
      <c r="D409" s="127"/>
      <c r="E409" s="125"/>
      <c r="F409" s="19" t="s">
        <v>106</v>
      </c>
      <c r="G409" s="30" t="s">
        <v>177</v>
      </c>
      <c r="H409" s="74">
        <v>137705047078</v>
      </c>
      <c r="I409" s="29">
        <v>7206501126</v>
      </c>
      <c r="J409" s="125"/>
      <c r="K409" s="127"/>
    </row>
    <row r="410" spans="1:11" x14ac:dyDescent="0.3">
      <c r="A410" s="125"/>
      <c r="B410" s="140"/>
      <c r="C410" s="127"/>
      <c r="D410" s="127"/>
      <c r="E410" s="125"/>
      <c r="F410" s="19" t="s">
        <v>7</v>
      </c>
      <c r="G410" s="30" t="s">
        <v>177</v>
      </c>
      <c r="H410" s="74">
        <v>1243648665</v>
      </c>
      <c r="I410" s="29">
        <v>8619185</v>
      </c>
      <c r="J410" s="125"/>
      <c r="K410" s="127"/>
    </row>
    <row r="411" spans="1:11" ht="27.6" x14ac:dyDescent="0.3">
      <c r="A411" s="125"/>
      <c r="B411" s="140"/>
      <c r="C411" s="127"/>
      <c r="D411" s="127"/>
      <c r="E411" s="125"/>
      <c r="F411" s="19" t="s">
        <v>31</v>
      </c>
      <c r="G411" s="30" t="s">
        <v>177</v>
      </c>
      <c r="H411" s="74">
        <v>126300789931</v>
      </c>
      <c r="I411" s="29">
        <v>65575814431</v>
      </c>
      <c r="J411" s="125"/>
      <c r="K411" s="127"/>
    </row>
    <row r="412" spans="1:11" x14ac:dyDescent="0.3">
      <c r="A412" s="125"/>
      <c r="B412" s="140"/>
      <c r="C412" s="127"/>
      <c r="D412" s="127"/>
      <c r="E412" s="125"/>
      <c r="F412" s="19" t="s">
        <v>48</v>
      </c>
      <c r="G412" s="30" t="s">
        <v>177</v>
      </c>
      <c r="H412" s="74">
        <v>28144542194</v>
      </c>
      <c r="I412" s="29">
        <v>24236213359</v>
      </c>
      <c r="J412" s="125"/>
      <c r="K412" s="127"/>
    </row>
    <row r="413" spans="1:11" x14ac:dyDescent="0.3">
      <c r="A413" s="125"/>
      <c r="B413" s="140"/>
      <c r="C413" s="127"/>
      <c r="D413" s="127"/>
      <c r="E413" s="125"/>
      <c r="F413" s="19" t="s">
        <v>49</v>
      </c>
      <c r="G413" s="30" t="s">
        <v>177</v>
      </c>
      <c r="H413" s="74">
        <v>8048111949</v>
      </c>
      <c r="I413" s="29">
        <v>891638052</v>
      </c>
      <c r="J413" s="125"/>
      <c r="K413" s="127"/>
    </row>
    <row r="414" spans="1:11" ht="27.6" x14ac:dyDescent="0.3">
      <c r="A414" s="125"/>
      <c r="B414" s="140"/>
      <c r="C414" s="127"/>
      <c r="D414" s="127"/>
      <c r="E414" s="125"/>
      <c r="F414" s="19" t="s">
        <v>33</v>
      </c>
      <c r="G414" s="30" t="s">
        <v>177</v>
      </c>
      <c r="H414" s="74">
        <v>807610643643</v>
      </c>
      <c r="I414" s="29">
        <v>16883074671</v>
      </c>
      <c r="J414" s="125"/>
      <c r="K414" s="127"/>
    </row>
    <row r="415" spans="1:11" ht="27.6" x14ac:dyDescent="0.3">
      <c r="A415" s="125"/>
      <c r="B415" s="140"/>
      <c r="C415" s="127"/>
      <c r="D415" s="127"/>
      <c r="E415" s="125"/>
      <c r="F415" s="19" t="s">
        <v>108</v>
      </c>
      <c r="G415" s="30" t="s">
        <v>177</v>
      </c>
      <c r="H415" s="74">
        <v>15259541831</v>
      </c>
      <c r="I415" s="29">
        <v>5578490563</v>
      </c>
      <c r="J415" s="125"/>
      <c r="K415" s="127"/>
    </row>
    <row r="416" spans="1:11" ht="27.6" x14ac:dyDescent="0.3">
      <c r="A416" s="125"/>
      <c r="B416" s="140"/>
      <c r="C416" s="127"/>
      <c r="D416" s="127"/>
      <c r="E416" s="125"/>
      <c r="F416" s="19" t="s">
        <v>109</v>
      </c>
      <c r="G416" s="30" t="s">
        <v>177</v>
      </c>
      <c r="H416" s="74">
        <v>163515275801</v>
      </c>
      <c r="I416" s="29">
        <v>21861588677</v>
      </c>
      <c r="J416" s="125"/>
      <c r="K416" s="127"/>
    </row>
    <row r="417" spans="1:11" x14ac:dyDescent="0.3">
      <c r="A417" s="125"/>
      <c r="B417" s="140"/>
      <c r="C417" s="127"/>
      <c r="D417" s="127"/>
      <c r="E417" s="125"/>
      <c r="F417" s="19" t="s">
        <v>110</v>
      </c>
      <c r="G417" s="30" t="s">
        <v>177</v>
      </c>
      <c r="H417" s="74">
        <v>50030255594</v>
      </c>
      <c r="I417" s="29">
        <v>18872486314</v>
      </c>
      <c r="J417" s="125"/>
      <c r="K417" s="127"/>
    </row>
    <row r="418" spans="1:11" ht="27.6" x14ac:dyDescent="0.3">
      <c r="A418" s="125"/>
      <c r="B418" s="140"/>
      <c r="C418" s="127"/>
      <c r="D418" s="127"/>
      <c r="E418" s="125"/>
      <c r="F418" s="19" t="s">
        <v>124</v>
      </c>
      <c r="G418" s="30" t="s">
        <v>177</v>
      </c>
      <c r="H418" s="74">
        <v>29561721975</v>
      </c>
      <c r="I418" s="29">
        <v>687831738</v>
      </c>
      <c r="J418" s="125"/>
      <c r="K418" s="127"/>
    </row>
    <row r="419" spans="1:11" ht="27.6" x14ac:dyDescent="0.3">
      <c r="A419" s="125"/>
      <c r="B419" s="140"/>
      <c r="C419" s="127"/>
      <c r="D419" s="127"/>
      <c r="E419" s="125"/>
      <c r="F419" s="19" t="s">
        <v>52</v>
      </c>
      <c r="G419" s="30" t="s">
        <v>177</v>
      </c>
      <c r="H419" s="74">
        <v>9321137751</v>
      </c>
      <c r="I419" s="29">
        <v>1732566165</v>
      </c>
      <c r="J419" s="125"/>
      <c r="K419" s="127"/>
    </row>
    <row r="420" spans="1:11" x14ac:dyDescent="0.3">
      <c r="A420" s="125"/>
      <c r="B420" s="140"/>
      <c r="C420" s="127"/>
      <c r="D420" s="127"/>
      <c r="E420" s="125"/>
      <c r="F420" s="19" t="s">
        <v>53</v>
      </c>
      <c r="G420" s="30" t="s">
        <v>177</v>
      </c>
      <c r="H420" s="74">
        <v>3817767133</v>
      </c>
      <c r="I420" s="24">
        <f>291926391</f>
        <v>291926391</v>
      </c>
      <c r="J420" s="125"/>
      <c r="K420" s="127"/>
    </row>
    <row r="421" spans="1:11" ht="27.6" x14ac:dyDescent="0.3">
      <c r="A421" s="125"/>
      <c r="B421" s="140"/>
      <c r="C421" s="127"/>
      <c r="D421" s="127"/>
      <c r="E421" s="125"/>
      <c r="F421" s="19" t="s">
        <v>55</v>
      </c>
      <c r="G421" s="30" t="s">
        <v>177</v>
      </c>
      <c r="H421" s="74">
        <v>314895584457</v>
      </c>
      <c r="I421" s="29">
        <v>16803107121</v>
      </c>
      <c r="J421" s="125"/>
      <c r="K421" s="127"/>
    </row>
    <row r="422" spans="1:11" ht="27.6" x14ac:dyDescent="0.3">
      <c r="A422" s="125"/>
      <c r="B422" s="140"/>
      <c r="C422" s="127"/>
      <c r="D422" s="127"/>
      <c r="E422" s="125"/>
      <c r="F422" s="19" t="s">
        <v>34</v>
      </c>
      <c r="G422" s="30" t="s">
        <v>177</v>
      </c>
      <c r="H422" s="74">
        <v>45635872095</v>
      </c>
      <c r="I422" s="29">
        <v>5450165068</v>
      </c>
      <c r="J422" s="125"/>
      <c r="K422" s="127"/>
    </row>
    <row r="423" spans="1:11" x14ac:dyDescent="0.3">
      <c r="A423" s="125"/>
      <c r="B423" s="140"/>
      <c r="C423" s="127"/>
      <c r="D423" s="127"/>
      <c r="E423" s="125"/>
      <c r="F423" s="19" t="s">
        <v>91</v>
      </c>
      <c r="G423" s="30" t="s">
        <v>177</v>
      </c>
      <c r="H423" s="74">
        <v>7000000000</v>
      </c>
      <c r="I423" s="29">
        <v>1823000000</v>
      </c>
      <c r="J423" s="125"/>
      <c r="K423" s="127"/>
    </row>
    <row r="424" spans="1:11" x14ac:dyDescent="0.3">
      <c r="A424" s="125"/>
      <c r="B424" s="140"/>
      <c r="C424" s="127"/>
      <c r="D424" s="127"/>
      <c r="E424" s="125"/>
      <c r="F424" s="19" t="s">
        <v>56</v>
      </c>
      <c r="G424" s="30" t="s">
        <v>177</v>
      </c>
      <c r="H424" s="74">
        <v>215865573503</v>
      </c>
      <c r="I424" s="29">
        <v>38764121197</v>
      </c>
      <c r="J424" s="125"/>
      <c r="K424" s="127"/>
    </row>
    <row r="425" spans="1:11" x14ac:dyDescent="0.3">
      <c r="A425" s="125"/>
      <c r="B425" s="140"/>
      <c r="C425" s="127"/>
      <c r="D425" s="127"/>
      <c r="E425" s="125"/>
      <c r="F425" s="19" t="s">
        <v>57</v>
      </c>
      <c r="G425" s="30" t="s">
        <v>177</v>
      </c>
      <c r="H425" s="74">
        <v>40261878259</v>
      </c>
      <c r="I425" s="29">
        <v>12814324722</v>
      </c>
      <c r="J425" s="125"/>
      <c r="K425" s="127"/>
    </row>
    <row r="426" spans="1:11" x14ac:dyDescent="0.3">
      <c r="A426" s="125"/>
      <c r="B426" s="140"/>
      <c r="C426" s="127"/>
      <c r="D426" s="127"/>
      <c r="E426" s="125"/>
      <c r="F426" s="19" t="s">
        <v>111</v>
      </c>
      <c r="G426" s="30" t="s">
        <v>177</v>
      </c>
      <c r="H426" s="74">
        <v>294248292242</v>
      </c>
      <c r="I426" s="29">
        <v>38618160996</v>
      </c>
      <c r="J426" s="125"/>
      <c r="K426" s="127"/>
    </row>
    <row r="427" spans="1:11" x14ac:dyDescent="0.3">
      <c r="A427" s="30">
        <v>11</v>
      </c>
      <c r="B427" s="15">
        <v>43040</v>
      </c>
      <c r="C427" s="17">
        <v>41269</v>
      </c>
      <c r="D427" s="17">
        <v>3133</v>
      </c>
      <c r="E427" s="30" t="s">
        <v>15</v>
      </c>
      <c r="F427" s="19" t="s">
        <v>14</v>
      </c>
      <c r="G427" s="30" t="s">
        <v>177</v>
      </c>
      <c r="H427" s="30" t="s">
        <v>177</v>
      </c>
      <c r="I427" s="30" t="s">
        <v>177</v>
      </c>
      <c r="J427" s="17">
        <f>K427</f>
        <v>4993027251</v>
      </c>
      <c r="K427" s="17">
        <v>4993027251</v>
      </c>
    </row>
    <row r="428" spans="1:11" ht="27.6" x14ac:dyDescent="0.3">
      <c r="A428" s="30">
        <v>11</v>
      </c>
      <c r="B428" s="15">
        <v>43053</v>
      </c>
      <c r="C428" s="17">
        <v>41278</v>
      </c>
      <c r="D428" s="17">
        <v>3162</v>
      </c>
      <c r="E428" s="30" t="s">
        <v>15</v>
      </c>
      <c r="F428" s="19" t="s">
        <v>41</v>
      </c>
      <c r="G428" s="20" t="s">
        <v>174</v>
      </c>
      <c r="H428" s="30" t="s">
        <v>177</v>
      </c>
      <c r="I428" s="30" t="s">
        <v>177</v>
      </c>
      <c r="J428" s="30" t="s">
        <v>177</v>
      </c>
      <c r="K428" s="17">
        <v>45539560100</v>
      </c>
    </row>
    <row r="429" spans="1:11" ht="27.6" x14ac:dyDescent="0.3">
      <c r="A429" s="125">
        <v>11</v>
      </c>
      <c r="B429" s="140">
        <v>43053</v>
      </c>
      <c r="C429" s="127">
        <v>41278</v>
      </c>
      <c r="D429" s="127">
        <v>3163</v>
      </c>
      <c r="E429" s="125" t="s">
        <v>15</v>
      </c>
      <c r="F429" s="126" t="s">
        <v>14</v>
      </c>
      <c r="G429" s="22" t="s">
        <v>69</v>
      </c>
      <c r="H429" s="74">
        <v>750000000</v>
      </c>
      <c r="I429" s="141">
        <v>2679333333</v>
      </c>
      <c r="J429" s="127">
        <f>K429-12023333333</f>
        <v>7610000000</v>
      </c>
      <c r="K429" s="127">
        <v>19633333333</v>
      </c>
    </row>
    <row r="430" spans="1:11" ht="27.6" x14ac:dyDescent="0.3">
      <c r="A430" s="125"/>
      <c r="B430" s="140"/>
      <c r="C430" s="127"/>
      <c r="D430" s="127"/>
      <c r="E430" s="125"/>
      <c r="F430" s="126"/>
      <c r="G430" s="22" t="s">
        <v>68</v>
      </c>
      <c r="H430" s="74">
        <v>300000000</v>
      </c>
      <c r="I430" s="141"/>
      <c r="J430" s="127"/>
      <c r="K430" s="127"/>
    </row>
    <row r="431" spans="1:11" x14ac:dyDescent="0.3">
      <c r="A431" s="125"/>
      <c r="B431" s="140"/>
      <c r="C431" s="127"/>
      <c r="D431" s="127"/>
      <c r="E431" s="125"/>
      <c r="F431" s="126"/>
      <c r="G431" s="22" t="s">
        <v>70</v>
      </c>
      <c r="H431" s="74">
        <v>234000000</v>
      </c>
      <c r="I431" s="141"/>
      <c r="J431" s="127"/>
      <c r="K431" s="127"/>
    </row>
    <row r="432" spans="1:11" ht="27.6" x14ac:dyDescent="0.3">
      <c r="A432" s="125"/>
      <c r="B432" s="140"/>
      <c r="C432" s="127"/>
      <c r="D432" s="127"/>
      <c r="E432" s="125"/>
      <c r="F432" s="126"/>
      <c r="G432" s="22" t="s">
        <v>95</v>
      </c>
      <c r="H432" s="74">
        <v>400000000</v>
      </c>
      <c r="I432" s="141"/>
      <c r="J432" s="127"/>
      <c r="K432" s="127"/>
    </row>
    <row r="433" spans="1:11" x14ac:dyDescent="0.3">
      <c r="A433" s="125"/>
      <c r="B433" s="140"/>
      <c r="C433" s="127"/>
      <c r="D433" s="127"/>
      <c r="E433" s="125"/>
      <c r="F433" s="126"/>
      <c r="G433" s="22" t="s">
        <v>66</v>
      </c>
      <c r="H433" s="74">
        <v>650000000</v>
      </c>
      <c r="I433" s="141"/>
      <c r="J433" s="127"/>
      <c r="K433" s="127"/>
    </row>
    <row r="434" spans="1:11" x14ac:dyDescent="0.3">
      <c r="A434" s="125"/>
      <c r="B434" s="140"/>
      <c r="C434" s="127"/>
      <c r="D434" s="127"/>
      <c r="E434" s="125"/>
      <c r="F434" s="126"/>
      <c r="G434" s="22" t="s">
        <v>160</v>
      </c>
      <c r="H434" s="74">
        <v>200000000</v>
      </c>
      <c r="I434" s="141"/>
      <c r="J434" s="127"/>
      <c r="K434" s="127"/>
    </row>
    <row r="435" spans="1:11" x14ac:dyDescent="0.3">
      <c r="A435" s="125"/>
      <c r="B435" s="140"/>
      <c r="C435" s="127"/>
      <c r="D435" s="127"/>
      <c r="E435" s="125"/>
      <c r="F435" s="126"/>
      <c r="G435" s="22" t="s">
        <v>65</v>
      </c>
      <c r="H435" s="74">
        <v>250000000</v>
      </c>
      <c r="I435" s="141"/>
      <c r="J435" s="127"/>
      <c r="K435" s="127"/>
    </row>
    <row r="436" spans="1:11" x14ac:dyDescent="0.3">
      <c r="A436" s="125"/>
      <c r="B436" s="140"/>
      <c r="C436" s="127"/>
      <c r="D436" s="127"/>
      <c r="E436" s="125"/>
      <c r="F436" s="126"/>
      <c r="G436" s="22" t="s">
        <v>62</v>
      </c>
      <c r="H436" s="74">
        <v>3000000000</v>
      </c>
      <c r="I436" s="141"/>
      <c r="J436" s="127"/>
      <c r="K436" s="127"/>
    </row>
    <row r="437" spans="1:11" x14ac:dyDescent="0.3">
      <c r="A437" s="125"/>
      <c r="B437" s="140"/>
      <c r="C437" s="127"/>
      <c r="D437" s="127"/>
      <c r="E437" s="125"/>
      <c r="F437" s="126"/>
      <c r="G437" s="38" t="s">
        <v>63</v>
      </c>
      <c r="H437" s="74">
        <v>60000000</v>
      </c>
      <c r="I437" s="141"/>
      <c r="J437" s="127"/>
      <c r="K437" s="127"/>
    </row>
    <row r="438" spans="1:11" x14ac:dyDescent="0.3">
      <c r="A438" s="125"/>
      <c r="B438" s="140"/>
      <c r="C438" s="127"/>
      <c r="D438" s="127"/>
      <c r="E438" s="125"/>
      <c r="F438" s="126"/>
      <c r="G438" s="38" t="s">
        <v>161</v>
      </c>
      <c r="H438" s="74">
        <v>2500000000</v>
      </c>
      <c r="I438" s="141"/>
      <c r="J438" s="127"/>
      <c r="K438" s="127"/>
    </row>
    <row r="439" spans="1:11" ht="27.6" x14ac:dyDescent="0.3">
      <c r="A439" s="125"/>
      <c r="B439" s="140"/>
      <c r="C439" s="127"/>
      <c r="D439" s="127"/>
      <c r="E439" s="125"/>
      <c r="F439" s="126"/>
      <c r="G439" s="38" t="s">
        <v>71</v>
      </c>
      <c r="H439" s="74">
        <v>1000000000</v>
      </c>
      <c r="I439" s="141"/>
      <c r="J439" s="127"/>
      <c r="K439" s="127"/>
    </row>
    <row r="440" spans="1:11" ht="27.6" x14ac:dyDescent="0.3">
      <c r="A440" s="125">
        <v>11</v>
      </c>
      <c r="B440" s="140">
        <v>43053</v>
      </c>
      <c r="C440" s="127">
        <v>41278</v>
      </c>
      <c r="D440" s="127">
        <v>3164</v>
      </c>
      <c r="E440" s="125" t="s">
        <v>15</v>
      </c>
      <c r="F440" s="126" t="s">
        <v>14</v>
      </c>
      <c r="G440" s="22" t="s">
        <v>69</v>
      </c>
      <c r="H440" s="17">
        <v>210791026</v>
      </c>
      <c r="I440" s="127">
        <v>3075000000</v>
      </c>
      <c r="J440" s="127">
        <f>K440-3415791026</f>
        <v>1951838146</v>
      </c>
      <c r="K440" s="127">
        <v>5367629172</v>
      </c>
    </row>
    <row r="441" spans="1:11" ht="27.6" x14ac:dyDescent="0.3">
      <c r="A441" s="125"/>
      <c r="B441" s="140"/>
      <c r="C441" s="127"/>
      <c r="D441" s="127"/>
      <c r="E441" s="125"/>
      <c r="F441" s="126"/>
      <c r="G441" s="22" t="s">
        <v>68</v>
      </c>
      <c r="H441" s="17">
        <v>50000000</v>
      </c>
      <c r="I441" s="127"/>
      <c r="J441" s="125"/>
      <c r="K441" s="127"/>
    </row>
    <row r="442" spans="1:11" x14ac:dyDescent="0.3">
      <c r="A442" s="125"/>
      <c r="B442" s="140"/>
      <c r="C442" s="127"/>
      <c r="D442" s="127"/>
      <c r="E442" s="125"/>
      <c r="F442" s="126"/>
      <c r="G442" s="22" t="s">
        <v>70</v>
      </c>
      <c r="H442" s="17">
        <v>10000000</v>
      </c>
      <c r="I442" s="127"/>
      <c r="J442" s="125"/>
      <c r="K442" s="127"/>
    </row>
    <row r="443" spans="1:11" x14ac:dyDescent="0.3">
      <c r="A443" s="125"/>
      <c r="B443" s="140"/>
      <c r="C443" s="127"/>
      <c r="D443" s="127"/>
      <c r="E443" s="125"/>
      <c r="F443" s="126"/>
      <c r="G443" s="22" t="s">
        <v>66</v>
      </c>
      <c r="H443" s="17">
        <v>70000000</v>
      </c>
      <c r="I443" s="127"/>
      <c r="J443" s="125"/>
      <c r="K443" s="127"/>
    </row>
    <row r="444" spans="1:11" x14ac:dyDescent="0.3">
      <c r="A444" s="30">
        <v>11</v>
      </c>
      <c r="B444" s="15">
        <v>43053</v>
      </c>
      <c r="C444" s="17">
        <v>41278</v>
      </c>
      <c r="D444" s="17">
        <v>3166</v>
      </c>
      <c r="E444" s="30" t="s">
        <v>15</v>
      </c>
      <c r="F444" s="19" t="s">
        <v>37</v>
      </c>
      <c r="G444" s="30" t="s">
        <v>177</v>
      </c>
      <c r="H444" s="30" t="s">
        <v>177</v>
      </c>
      <c r="I444" s="29">
        <v>924391947</v>
      </c>
      <c r="J444" s="17">
        <f>K444-I444</f>
        <v>398784616062</v>
      </c>
      <c r="K444" s="17">
        <v>399709008009</v>
      </c>
    </row>
    <row r="445" spans="1:11" x14ac:dyDescent="0.3">
      <c r="A445" s="127">
        <v>11</v>
      </c>
      <c r="B445" s="140">
        <v>43053</v>
      </c>
      <c r="C445" s="127">
        <v>6340</v>
      </c>
      <c r="D445" s="127">
        <v>3165</v>
      </c>
      <c r="E445" s="127" t="s">
        <v>15</v>
      </c>
      <c r="F445" s="19" t="s">
        <v>36</v>
      </c>
      <c r="G445" s="30" t="s">
        <v>177</v>
      </c>
      <c r="H445" s="73">
        <v>6312710332</v>
      </c>
      <c r="I445" s="29">
        <v>3123110884</v>
      </c>
      <c r="J445" s="127" t="s">
        <v>177</v>
      </c>
      <c r="K445" s="127">
        <v>11565396902200</v>
      </c>
    </row>
    <row r="446" spans="1:11" x14ac:dyDescent="0.3">
      <c r="A446" s="127"/>
      <c r="B446" s="140"/>
      <c r="C446" s="127"/>
      <c r="D446" s="127"/>
      <c r="E446" s="127"/>
      <c r="F446" s="19" t="s">
        <v>37</v>
      </c>
      <c r="G446" s="30" t="s">
        <v>177</v>
      </c>
      <c r="H446" s="73">
        <v>52059201024</v>
      </c>
      <c r="I446" s="29">
        <v>40030729697</v>
      </c>
      <c r="J446" s="127"/>
      <c r="K446" s="127"/>
    </row>
    <row r="447" spans="1:11" ht="27.6" x14ac:dyDescent="0.3">
      <c r="A447" s="127"/>
      <c r="B447" s="140"/>
      <c r="C447" s="127"/>
      <c r="D447" s="127"/>
      <c r="E447" s="127"/>
      <c r="F447" s="19" t="s">
        <v>97</v>
      </c>
      <c r="G447" s="30" t="s">
        <v>177</v>
      </c>
      <c r="H447" s="73">
        <v>19275705450</v>
      </c>
      <c r="I447" s="29">
        <v>7214133240</v>
      </c>
      <c r="J447" s="127"/>
      <c r="K447" s="127"/>
    </row>
    <row r="448" spans="1:11" x14ac:dyDescent="0.3">
      <c r="A448" s="127"/>
      <c r="B448" s="140"/>
      <c r="C448" s="127"/>
      <c r="D448" s="127"/>
      <c r="E448" s="127"/>
      <c r="F448" s="19" t="s">
        <v>24</v>
      </c>
      <c r="G448" s="30" t="s">
        <v>177</v>
      </c>
      <c r="H448" s="73">
        <v>1551374129308</v>
      </c>
      <c r="I448" s="29">
        <v>973583702129</v>
      </c>
      <c r="J448" s="127"/>
      <c r="K448" s="127"/>
    </row>
    <row r="449" spans="1:11" x14ac:dyDescent="0.3">
      <c r="A449" s="127"/>
      <c r="B449" s="140"/>
      <c r="C449" s="127"/>
      <c r="D449" s="127"/>
      <c r="E449" s="127"/>
      <c r="F449" s="19" t="s">
        <v>25</v>
      </c>
      <c r="G449" s="30" t="s">
        <v>177</v>
      </c>
      <c r="H449" s="73">
        <v>2411563016063</v>
      </c>
      <c r="I449" s="29">
        <v>1580968388299</v>
      </c>
      <c r="J449" s="127"/>
      <c r="K449" s="127"/>
    </row>
    <row r="450" spans="1:11" ht="27.6" x14ac:dyDescent="0.3">
      <c r="A450" s="127"/>
      <c r="B450" s="140"/>
      <c r="C450" s="127"/>
      <c r="D450" s="127"/>
      <c r="E450" s="127"/>
      <c r="F450" s="19" t="s">
        <v>163</v>
      </c>
      <c r="G450" s="30" t="s">
        <v>177</v>
      </c>
      <c r="H450" s="73">
        <v>1490410872289</v>
      </c>
      <c r="I450" s="29">
        <v>12514745860</v>
      </c>
      <c r="J450" s="127"/>
      <c r="K450" s="127"/>
    </row>
    <row r="451" spans="1:11" x14ac:dyDescent="0.3">
      <c r="A451" s="127"/>
      <c r="B451" s="140"/>
      <c r="C451" s="127"/>
      <c r="D451" s="127"/>
      <c r="E451" s="127"/>
      <c r="F451" s="19" t="s">
        <v>39</v>
      </c>
      <c r="G451" s="30" t="s">
        <v>177</v>
      </c>
      <c r="H451" s="73">
        <v>217861944420</v>
      </c>
      <c r="I451" s="29">
        <v>89193149553</v>
      </c>
      <c r="J451" s="127"/>
      <c r="K451" s="127"/>
    </row>
    <row r="452" spans="1:11" x14ac:dyDescent="0.3">
      <c r="A452" s="127"/>
      <c r="B452" s="140"/>
      <c r="C452" s="127"/>
      <c r="D452" s="127"/>
      <c r="E452" s="127"/>
      <c r="F452" s="19" t="s">
        <v>40</v>
      </c>
      <c r="G452" s="30" t="s">
        <v>177</v>
      </c>
      <c r="H452" s="73">
        <v>78852604511</v>
      </c>
      <c r="I452" s="29">
        <v>64168514720</v>
      </c>
      <c r="J452" s="127"/>
      <c r="K452" s="127"/>
    </row>
    <row r="453" spans="1:11" x14ac:dyDescent="0.3">
      <c r="A453" s="127"/>
      <c r="B453" s="140"/>
      <c r="C453" s="127"/>
      <c r="D453" s="127"/>
      <c r="E453" s="127"/>
      <c r="F453" s="19" t="s">
        <v>26</v>
      </c>
      <c r="G453" s="30" t="s">
        <v>177</v>
      </c>
      <c r="H453" s="73">
        <v>3086333062</v>
      </c>
      <c r="I453" s="29">
        <v>2429469603</v>
      </c>
      <c r="J453" s="127"/>
      <c r="K453" s="127"/>
    </row>
    <row r="454" spans="1:11" ht="27.6" x14ac:dyDescent="0.3">
      <c r="A454" s="127"/>
      <c r="B454" s="140"/>
      <c r="C454" s="127"/>
      <c r="D454" s="127"/>
      <c r="E454" s="127"/>
      <c r="F454" s="19" t="s">
        <v>41</v>
      </c>
      <c r="G454" s="30" t="s">
        <v>177</v>
      </c>
      <c r="H454" s="73">
        <v>384482115443</v>
      </c>
      <c r="I454" s="29">
        <v>228077057990</v>
      </c>
      <c r="J454" s="127"/>
      <c r="K454" s="127"/>
    </row>
    <row r="455" spans="1:11" x14ac:dyDescent="0.3">
      <c r="A455" s="127"/>
      <c r="B455" s="140"/>
      <c r="C455" s="127"/>
      <c r="D455" s="127"/>
      <c r="E455" s="127"/>
      <c r="F455" s="19" t="s">
        <v>42</v>
      </c>
      <c r="G455" s="30" t="s">
        <v>177</v>
      </c>
      <c r="H455" s="73">
        <v>8640307967</v>
      </c>
      <c r="I455" s="29">
        <v>7806110882</v>
      </c>
      <c r="J455" s="127"/>
      <c r="K455" s="127"/>
    </row>
    <row r="456" spans="1:11" x14ac:dyDescent="0.3">
      <c r="A456" s="127"/>
      <c r="B456" s="140"/>
      <c r="C456" s="127"/>
      <c r="D456" s="127"/>
      <c r="E456" s="127"/>
      <c r="F456" s="19" t="s">
        <v>28</v>
      </c>
      <c r="G456" s="30" t="s">
        <v>177</v>
      </c>
      <c r="H456" s="73">
        <v>40206356913</v>
      </c>
      <c r="I456" s="29">
        <v>35296704890</v>
      </c>
      <c r="J456" s="127"/>
      <c r="K456" s="127"/>
    </row>
    <row r="457" spans="1:11" ht="27.6" x14ac:dyDescent="0.3">
      <c r="A457" s="127"/>
      <c r="B457" s="140"/>
      <c r="C457" s="127"/>
      <c r="D457" s="127"/>
      <c r="E457" s="127"/>
      <c r="F457" s="19" t="s">
        <v>98</v>
      </c>
      <c r="G457" s="30" t="s">
        <v>177</v>
      </c>
      <c r="H457" s="73">
        <v>99245408354</v>
      </c>
      <c r="I457" s="29">
        <v>10789977011</v>
      </c>
      <c r="J457" s="127"/>
      <c r="K457" s="127"/>
    </row>
    <row r="458" spans="1:11" ht="27.6" x14ac:dyDescent="0.3">
      <c r="A458" s="127"/>
      <c r="B458" s="140"/>
      <c r="C458" s="127"/>
      <c r="D458" s="127"/>
      <c r="E458" s="127"/>
      <c r="F458" s="19" t="s">
        <v>168</v>
      </c>
      <c r="G458" s="30" t="s">
        <v>177</v>
      </c>
      <c r="H458" s="73">
        <v>64934262955</v>
      </c>
      <c r="I458" s="29">
        <v>8379407108</v>
      </c>
      <c r="J458" s="127"/>
      <c r="K458" s="127"/>
    </row>
    <row r="459" spans="1:11" ht="27.6" x14ac:dyDescent="0.3">
      <c r="A459" s="127"/>
      <c r="B459" s="140"/>
      <c r="C459" s="127"/>
      <c r="D459" s="127"/>
      <c r="E459" s="127"/>
      <c r="F459" s="19" t="s">
        <v>169</v>
      </c>
      <c r="G459" s="30" t="s">
        <v>177</v>
      </c>
      <c r="H459" s="73">
        <v>140946625542</v>
      </c>
      <c r="I459" s="29">
        <v>10052618002</v>
      </c>
      <c r="J459" s="127"/>
      <c r="K459" s="127"/>
    </row>
    <row r="460" spans="1:11" x14ac:dyDescent="0.3">
      <c r="A460" s="127"/>
      <c r="B460" s="140"/>
      <c r="C460" s="127"/>
      <c r="D460" s="127"/>
      <c r="E460" s="127"/>
      <c r="F460" s="19" t="s">
        <v>90</v>
      </c>
      <c r="G460" s="30" t="s">
        <v>177</v>
      </c>
      <c r="H460" s="73">
        <v>248895119</v>
      </c>
      <c r="I460" s="29">
        <v>247624791</v>
      </c>
      <c r="J460" s="127"/>
      <c r="K460" s="127"/>
    </row>
    <row r="461" spans="1:11" x14ac:dyDescent="0.3">
      <c r="A461" s="127"/>
      <c r="B461" s="140"/>
      <c r="C461" s="127"/>
      <c r="D461" s="127"/>
      <c r="E461" s="127"/>
      <c r="F461" s="19" t="s">
        <v>44</v>
      </c>
      <c r="G461" s="30" t="s">
        <v>177</v>
      </c>
      <c r="H461" s="73">
        <v>5093011482</v>
      </c>
      <c r="I461" s="29">
        <v>926405752</v>
      </c>
      <c r="J461" s="127"/>
      <c r="K461" s="127"/>
    </row>
    <row r="462" spans="1:11" x14ac:dyDescent="0.3">
      <c r="A462" s="127"/>
      <c r="B462" s="140"/>
      <c r="C462" s="127"/>
      <c r="D462" s="127"/>
      <c r="E462" s="127"/>
      <c r="F462" s="19" t="s">
        <v>165</v>
      </c>
      <c r="G462" s="30" t="s">
        <v>177</v>
      </c>
      <c r="H462" s="73">
        <v>116803806196</v>
      </c>
      <c r="I462" s="29">
        <v>3774504100</v>
      </c>
      <c r="J462" s="127"/>
      <c r="K462" s="127"/>
    </row>
    <row r="463" spans="1:11" x14ac:dyDescent="0.3">
      <c r="A463" s="127"/>
      <c r="B463" s="140"/>
      <c r="C463" s="127"/>
      <c r="D463" s="127"/>
      <c r="E463" s="127"/>
      <c r="F463" s="19" t="s">
        <v>164</v>
      </c>
      <c r="G463" s="30" t="s">
        <v>177</v>
      </c>
      <c r="H463" s="73">
        <v>5221787306</v>
      </c>
      <c r="I463" s="29">
        <v>1652663059</v>
      </c>
      <c r="J463" s="127"/>
      <c r="K463" s="127"/>
    </row>
    <row r="464" spans="1:11" x14ac:dyDescent="0.3">
      <c r="A464" s="127"/>
      <c r="B464" s="140"/>
      <c r="C464" s="127"/>
      <c r="D464" s="127"/>
      <c r="E464" s="127"/>
      <c r="F464" s="19" t="s">
        <v>580</v>
      </c>
      <c r="G464" s="30" t="s">
        <v>177</v>
      </c>
      <c r="H464" s="73">
        <v>29637205974</v>
      </c>
      <c r="I464" s="29">
        <v>15720053830</v>
      </c>
      <c r="J464" s="127"/>
      <c r="K464" s="127"/>
    </row>
    <row r="465" spans="1:11" x14ac:dyDescent="0.3">
      <c r="A465" s="127"/>
      <c r="B465" s="140"/>
      <c r="C465" s="127"/>
      <c r="D465" s="127"/>
      <c r="E465" s="127"/>
      <c r="F465" s="19" t="s">
        <v>101</v>
      </c>
      <c r="G465" s="30" t="s">
        <v>177</v>
      </c>
      <c r="H465" s="73">
        <v>23985389611</v>
      </c>
      <c r="I465" s="29">
        <v>2962070611</v>
      </c>
      <c r="J465" s="127"/>
      <c r="K465" s="127"/>
    </row>
    <row r="466" spans="1:11" ht="27.6" x14ac:dyDescent="0.3">
      <c r="A466" s="127"/>
      <c r="B466" s="140"/>
      <c r="C466" s="127"/>
      <c r="D466" s="127"/>
      <c r="E466" s="127"/>
      <c r="F466" s="19" t="s">
        <v>102</v>
      </c>
      <c r="G466" s="30" t="s">
        <v>177</v>
      </c>
      <c r="H466" s="73">
        <v>3431129871</v>
      </c>
      <c r="I466" s="29">
        <v>3415279871</v>
      </c>
      <c r="J466" s="127"/>
      <c r="K466" s="127"/>
    </row>
    <row r="467" spans="1:11" x14ac:dyDescent="0.3">
      <c r="A467" s="127"/>
      <c r="B467" s="140"/>
      <c r="C467" s="127"/>
      <c r="D467" s="127"/>
      <c r="E467" s="127"/>
      <c r="F467" s="19" t="s">
        <v>29</v>
      </c>
      <c r="G467" s="30" t="s">
        <v>177</v>
      </c>
      <c r="H467" s="73">
        <v>777924386371</v>
      </c>
      <c r="I467" s="29">
        <v>343699397221</v>
      </c>
      <c r="J467" s="127"/>
      <c r="K467" s="127"/>
    </row>
    <row r="468" spans="1:11" ht="27.6" x14ac:dyDescent="0.3">
      <c r="A468" s="127"/>
      <c r="B468" s="140"/>
      <c r="C468" s="127"/>
      <c r="D468" s="127"/>
      <c r="E468" s="127"/>
      <c r="F468" s="19" t="s">
        <v>166</v>
      </c>
      <c r="G468" s="30" t="s">
        <v>177</v>
      </c>
      <c r="H468" s="73">
        <v>40102910112</v>
      </c>
      <c r="I468" s="29">
        <v>16161794047</v>
      </c>
      <c r="J468" s="127"/>
      <c r="K468" s="127"/>
    </row>
    <row r="469" spans="1:11" x14ac:dyDescent="0.3">
      <c r="A469" s="127"/>
      <c r="B469" s="140"/>
      <c r="C469" s="127"/>
      <c r="D469" s="127"/>
      <c r="E469" s="127"/>
      <c r="F469" s="19" t="s">
        <v>106</v>
      </c>
      <c r="G469" s="30" t="s">
        <v>177</v>
      </c>
      <c r="H469" s="73">
        <v>65256867524</v>
      </c>
      <c r="I469" s="29">
        <v>9229810815</v>
      </c>
      <c r="J469" s="127"/>
      <c r="K469" s="127"/>
    </row>
    <row r="470" spans="1:11" x14ac:dyDescent="0.3">
      <c r="A470" s="127"/>
      <c r="B470" s="140"/>
      <c r="C470" s="127"/>
      <c r="D470" s="127"/>
      <c r="E470" s="127"/>
      <c r="F470" s="19" t="s">
        <v>7</v>
      </c>
      <c r="G470" s="30" t="s">
        <v>177</v>
      </c>
      <c r="H470" s="73">
        <v>1482993238</v>
      </c>
      <c r="I470" s="29">
        <v>4581440</v>
      </c>
      <c r="J470" s="127"/>
      <c r="K470" s="127"/>
    </row>
    <row r="471" spans="1:11" ht="27.6" x14ac:dyDescent="0.3">
      <c r="A471" s="127"/>
      <c r="B471" s="140"/>
      <c r="C471" s="127"/>
      <c r="D471" s="127"/>
      <c r="E471" s="127"/>
      <c r="F471" s="19" t="s">
        <v>31</v>
      </c>
      <c r="G471" s="30" t="s">
        <v>177</v>
      </c>
      <c r="H471" s="73">
        <v>158886235685</v>
      </c>
      <c r="I471" s="29">
        <v>74678287560</v>
      </c>
      <c r="J471" s="127"/>
      <c r="K471" s="127"/>
    </row>
    <row r="472" spans="1:11" x14ac:dyDescent="0.3">
      <c r="A472" s="127"/>
      <c r="B472" s="140"/>
      <c r="C472" s="127"/>
      <c r="D472" s="127"/>
      <c r="E472" s="127"/>
      <c r="F472" s="19" t="s">
        <v>48</v>
      </c>
      <c r="G472" s="30" t="s">
        <v>177</v>
      </c>
      <c r="H472" s="73">
        <v>36221087266</v>
      </c>
      <c r="I472" s="29">
        <v>32750313508</v>
      </c>
      <c r="J472" s="127"/>
      <c r="K472" s="127"/>
    </row>
    <row r="473" spans="1:11" x14ac:dyDescent="0.3">
      <c r="A473" s="127"/>
      <c r="B473" s="140"/>
      <c r="C473" s="127"/>
      <c r="D473" s="127"/>
      <c r="E473" s="127"/>
      <c r="F473" s="19" t="s">
        <v>50</v>
      </c>
      <c r="G473" s="30" t="s">
        <v>177</v>
      </c>
      <c r="H473" s="73">
        <v>13790604366</v>
      </c>
      <c r="I473" s="29">
        <v>1290684629</v>
      </c>
      <c r="J473" s="127"/>
      <c r="K473" s="127"/>
    </row>
    <row r="474" spans="1:11" ht="27.6" x14ac:dyDescent="0.3">
      <c r="A474" s="127"/>
      <c r="B474" s="140"/>
      <c r="C474" s="127"/>
      <c r="D474" s="127"/>
      <c r="E474" s="127"/>
      <c r="F474" s="19" t="s">
        <v>33</v>
      </c>
      <c r="G474" s="30" t="s">
        <v>177</v>
      </c>
      <c r="H474" s="73">
        <v>2640002223653</v>
      </c>
      <c r="I474" s="29">
        <v>13139900878</v>
      </c>
      <c r="J474" s="127"/>
      <c r="K474" s="127"/>
    </row>
    <row r="475" spans="1:11" ht="27.6" x14ac:dyDescent="0.3">
      <c r="A475" s="127"/>
      <c r="B475" s="140"/>
      <c r="C475" s="127"/>
      <c r="D475" s="127"/>
      <c r="E475" s="127"/>
      <c r="F475" s="19" t="s">
        <v>108</v>
      </c>
      <c r="G475" s="30" t="s">
        <v>177</v>
      </c>
      <c r="H475" s="73">
        <v>24132281214</v>
      </c>
      <c r="I475" s="29">
        <v>8562598663</v>
      </c>
      <c r="J475" s="127"/>
      <c r="K475" s="127"/>
    </row>
    <row r="476" spans="1:11" ht="27.6" x14ac:dyDescent="0.3">
      <c r="A476" s="127"/>
      <c r="B476" s="140"/>
      <c r="C476" s="127"/>
      <c r="D476" s="127"/>
      <c r="E476" s="127"/>
      <c r="F476" s="19" t="s">
        <v>109</v>
      </c>
      <c r="G476" s="30" t="s">
        <v>177</v>
      </c>
      <c r="H476" s="73">
        <v>122645504087</v>
      </c>
      <c r="I476" s="29">
        <v>10070668710</v>
      </c>
      <c r="J476" s="127"/>
      <c r="K476" s="127"/>
    </row>
    <row r="477" spans="1:11" x14ac:dyDescent="0.3">
      <c r="A477" s="127"/>
      <c r="B477" s="140"/>
      <c r="C477" s="127"/>
      <c r="D477" s="127"/>
      <c r="E477" s="127"/>
      <c r="F477" s="19" t="s">
        <v>110</v>
      </c>
      <c r="G477" s="30" t="s">
        <v>177</v>
      </c>
      <c r="H477" s="73">
        <v>57321160028</v>
      </c>
      <c r="I477" s="29">
        <v>22893602311</v>
      </c>
      <c r="J477" s="127"/>
      <c r="K477" s="127"/>
    </row>
    <row r="478" spans="1:11" ht="27.6" x14ac:dyDescent="0.3">
      <c r="A478" s="127"/>
      <c r="B478" s="140"/>
      <c r="C478" s="127"/>
      <c r="D478" s="127"/>
      <c r="E478" s="127"/>
      <c r="F478" s="19" t="s">
        <v>124</v>
      </c>
      <c r="G478" s="30" t="s">
        <v>177</v>
      </c>
      <c r="H478" s="73">
        <v>38214712094</v>
      </c>
      <c r="I478" s="29">
        <v>1937488470</v>
      </c>
      <c r="J478" s="127"/>
      <c r="K478" s="127"/>
    </row>
    <row r="479" spans="1:11" ht="27.6" x14ac:dyDescent="0.3">
      <c r="A479" s="127"/>
      <c r="B479" s="140"/>
      <c r="C479" s="127"/>
      <c r="D479" s="127"/>
      <c r="E479" s="127"/>
      <c r="F479" s="19" t="s">
        <v>52</v>
      </c>
      <c r="G479" s="30" t="s">
        <v>177</v>
      </c>
      <c r="H479" s="73">
        <v>10958782593</v>
      </c>
      <c r="I479" s="29">
        <v>2490008998</v>
      </c>
      <c r="J479" s="127"/>
      <c r="K479" s="127"/>
    </row>
    <row r="480" spans="1:11" x14ac:dyDescent="0.3">
      <c r="A480" s="127"/>
      <c r="B480" s="140"/>
      <c r="C480" s="127"/>
      <c r="D480" s="127"/>
      <c r="E480" s="127"/>
      <c r="F480" s="19" t="s">
        <v>53</v>
      </c>
      <c r="G480" s="30" t="s">
        <v>177</v>
      </c>
      <c r="H480" s="73">
        <v>6500498358</v>
      </c>
      <c r="I480" s="24">
        <v>777656590</v>
      </c>
      <c r="J480" s="127"/>
      <c r="K480" s="127"/>
    </row>
    <row r="481" spans="1:11" ht="27.6" x14ac:dyDescent="0.3">
      <c r="A481" s="127"/>
      <c r="B481" s="140"/>
      <c r="C481" s="127"/>
      <c r="D481" s="127"/>
      <c r="E481" s="127"/>
      <c r="F481" s="19" t="s">
        <v>55</v>
      </c>
      <c r="G481" s="30" t="s">
        <v>177</v>
      </c>
      <c r="H481" s="73">
        <v>372375973900</v>
      </c>
      <c r="I481" s="24">
        <f>3876657639</f>
        <v>3876657639</v>
      </c>
      <c r="J481" s="127"/>
      <c r="K481" s="127"/>
    </row>
    <row r="482" spans="1:11" ht="27.6" x14ac:dyDescent="0.3">
      <c r="A482" s="127"/>
      <c r="B482" s="140"/>
      <c r="C482" s="127"/>
      <c r="D482" s="127"/>
      <c r="E482" s="127"/>
      <c r="F482" s="19" t="s">
        <v>34</v>
      </c>
      <c r="G482" s="30" t="s">
        <v>177</v>
      </c>
      <c r="H482" s="73">
        <v>44869016645</v>
      </c>
      <c r="I482" s="24">
        <f>3361368491</f>
        <v>3361368491</v>
      </c>
      <c r="J482" s="127"/>
      <c r="K482" s="127"/>
    </row>
    <row r="483" spans="1:11" x14ac:dyDescent="0.3">
      <c r="A483" s="127"/>
      <c r="B483" s="140"/>
      <c r="C483" s="127"/>
      <c r="D483" s="127"/>
      <c r="E483" s="127"/>
      <c r="F483" s="19" t="s">
        <v>56</v>
      </c>
      <c r="G483" s="30" t="s">
        <v>177</v>
      </c>
      <c r="H483" s="73">
        <v>98766021879</v>
      </c>
      <c r="I483" s="29">
        <v>13738923264</v>
      </c>
      <c r="J483" s="127"/>
      <c r="K483" s="127"/>
    </row>
    <row r="484" spans="1:11" x14ac:dyDescent="0.3">
      <c r="A484" s="127"/>
      <c r="B484" s="140"/>
      <c r="C484" s="127"/>
      <c r="D484" s="127"/>
      <c r="E484" s="127"/>
      <c r="F484" s="19" t="s">
        <v>170</v>
      </c>
      <c r="G484" s="30" t="s">
        <v>177</v>
      </c>
      <c r="H484" s="73">
        <v>13041200803</v>
      </c>
      <c r="I484" s="24">
        <f>9063758240</f>
        <v>9063758240</v>
      </c>
      <c r="J484" s="127"/>
      <c r="K484" s="127"/>
    </row>
    <row r="485" spans="1:11" x14ac:dyDescent="0.3">
      <c r="A485" s="127"/>
      <c r="B485" s="140"/>
      <c r="C485" s="127"/>
      <c r="D485" s="127"/>
      <c r="E485" s="127"/>
      <c r="F485" s="19" t="s">
        <v>111</v>
      </c>
      <c r="G485" s="30" t="s">
        <v>177</v>
      </c>
      <c r="H485" s="73">
        <v>275280820791</v>
      </c>
      <c r="I485" s="29">
        <v>65266928873</v>
      </c>
      <c r="J485" s="127"/>
      <c r="K485" s="127"/>
    </row>
    <row r="486" spans="1:11" x14ac:dyDescent="0.3">
      <c r="A486" s="125">
        <v>12</v>
      </c>
      <c r="B486" s="140">
        <v>43087</v>
      </c>
      <c r="C486" s="127">
        <v>6349</v>
      </c>
      <c r="D486" s="127">
        <v>3203</v>
      </c>
      <c r="E486" s="125" t="s">
        <v>15</v>
      </c>
      <c r="F486" s="19" t="s">
        <v>36</v>
      </c>
      <c r="G486" s="30" t="s">
        <v>177</v>
      </c>
      <c r="H486" s="74">
        <v>1863430400</v>
      </c>
      <c r="I486" s="29">
        <v>820215835</v>
      </c>
      <c r="J486" s="125" t="s">
        <v>177</v>
      </c>
      <c r="K486" s="127">
        <v>8464703443819</v>
      </c>
    </row>
    <row r="487" spans="1:11" x14ac:dyDescent="0.3">
      <c r="A487" s="125"/>
      <c r="B487" s="140"/>
      <c r="C487" s="127"/>
      <c r="D487" s="127"/>
      <c r="E487" s="125"/>
      <c r="F487" s="19" t="s">
        <v>37</v>
      </c>
      <c r="G487" s="30" t="s">
        <v>177</v>
      </c>
      <c r="H487" s="74">
        <v>12099108572</v>
      </c>
      <c r="I487" s="29">
        <v>10987515727</v>
      </c>
      <c r="J487" s="125"/>
      <c r="K487" s="127"/>
    </row>
    <row r="488" spans="1:11" ht="27.6" x14ac:dyDescent="0.3">
      <c r="A488" s="125"/>
      <c r="B488" s="140"/>
      <c r="C488" s="127"/>
      <c r="D488" s="127"/>
      <c r="E488" s="125"/>
      <c r="F488" s="19" t="s">
        <v>97</v>
      </c>
      <c r="G488" s="30" t="s">
        <v>177</v>
      </c>
      <c r="H488" s="74">
        <v>21390388749</v>
      </c>
      <c r="I488" s="29">
        <v>3773970717</v>
      </c>
      <c r="J488" s="125"/>
      <c r="K488" s="127"/>
    </row>
    <row r="489" spans="1:11" x14ac:dyDescent="0.3">
      <c r="A489" s="125"/>
      <c r="B489" s="140"/>
      <c r="C489" s="127"/>
      <c r="D489" s="127"/>
      <c r="E489" s="125"/>
      <c r="F489" s="19" t="s">
        <v>24</v>
      </c>
      <c r="G489" s="30" t="s">
        <v>177</v>
      </c>
      <c r="H489" s="74">
        <v>294331062967</v>
      </c>
      <c r="I489" s="29"/>
      <c r="J489" s="125"/>
      <c r="K489" s="127"/>
    </row>
    <row r="490" spans="1:11" x14ac:dyDescent="0.3">
      <c r="A490" s="125"/>
      <c r="B490" s="140"/>
      <c r="C490" s="127"/>
      <c r="D490" s="127"/>
      <c r="E490" s="125"/>
      <c r="F490" s="19" t="s">
        <v>25</v>
      </c>
      <c r="G490" s="30" t="s">
        <v>177</v>
      </c>
      <c r="H490" s="74">
        <v>1760054594318</v>
      </c>
      <c r="I490" s="29">
        <v>786486598913</v>
      </c>
      <c r="J490" s="125"/>
      <c r="K490" s="127"/>
    </row>
    <row r="491" spans="1:11" ht="27.6" x14ac:dyDescent="0.3">
      <c r="A491" s="125"/>
      <c r="B491" s="140"/>
      <c r="C491" s="127"/>
      <c r="D491" s="127"/>
      <c r="E491" s="125"/>
      <c r="F491" s="19" t="s">
        <v>38</v>
      </c>
      <c r="G491" s="30" t="s">
        <v>177</v>
      </c>
      <c r="H491" s="74">
        <v>1491795627302</v>
      </c>
      <c r="I491" s="29">
        <v>8719000889</v>
      </c>
      <c r="J491" s="125"/>
      <c r="K491" s="127"/>
    </row>
    <row r="492" spans="1:11" x14ac:dyDescent="0.3">
      <c r="A492" s="125"/>
      <c r="B492" s="140"/>
      <c r="C492" s="127"/>
      <c r="D492" s="127"/>
      <c r="E492" s="125"/>
      <c r="F492" s="19" t="s">
        <v>39</v>
      </c>
      <c r="G492" s="30" t="s">
        <v>177</v>
      </c>
      <c r="H492" s="74">
        <v>80082283651</v>
      </c>
      <c r="I492" s="29">
        <v>63946399809</v>
      </c>
      <c r="J492" s="125"/>
      <c r="K492" s="127"/>
    </row>
    <row r="493" spans="1:11" x14ac:dyDescent="0.3">
      <c r="A493" s="125"/>
      <c r="B493" s="140"/>
      <c r="C493" s="127"/>
      <c r="D493" s="127"/>
      <c r="E493" s="125"/>
      <c r="F493" s="19" t="s">
        <v>40</v>
      </c>
      <c r="G493" s="30" t="s">
        <v>177</v>
      </c>
      <c r="H493" s="74">
        <v>7454125764</v>
      </c>
      <c r="I493" s="29">
        <v>7074349120</v>
      </c>
      <c r="J493" s="125"/>
      <c r="K493" s="127"/>
    </row>
    <row r="494" spans="1:11" x14ac:dyDescent="0.3">
      <c r="A494" s="125"/>
      <c r="B494" s="140"/>
      <c r="C494" s="127"/>
      <c r="D494" s="127"/>
      <c r="E494" s="125"/>
      <c r="F494" s="19" t="s">
        <v>26</v>
      </c>
      <c r="G494" s="30" t="s">
        <v>177</v>
      </c>
      <c r="H494" s="74">
        <v>819138728</v>
      </c>
      <c r="I494" s="29">
        <v>819138728</v>
      </c>
      <c r="J494" s="125"/>
      <c r="K494" s="127"/>
    </row>
    <row r="495" spans="1:11" ht="27.6" x14ac:dyDescent="0.3">
      <c r="A495" s="125"/>
      <c r="B495" s="140"/>
      <c r="C495" s="127"/>
      <c r="D495" s="127"/>
      <c r="E495" s="125"/>
      <c r="F495" s="19" t="s">
        <v>41</v>
      </c>
      <c r="G495" s="30" t="s">
        <v>177</v>
      </c>
      <c r="H495" s="74">
        <v>299774778005</v>
      </c>
      <c r="I495" s="29">
        <v>127030979376</v>
      </c>
      <c r="J495" s="125"/>
      <c r="K495" s="127"/>
    </row>
    <row r="496" spans="1:11" x14ac:dyDescent="0.3">
      <c r="A496" s="125"/>
      <c r="B496" s="140"/>
      <c r="C496" s="127"/>
      <c r="D496" s="127"/>
      <c r="E496" s="125"/>
      <c r="F496" s="19" t="s">
        <v>28</v>
      </c>
      <c r="G496" s="30" t="s">
        <v>177</v>
      </c>
      <c r="H496" s="74">
        <v>59397403245</v>
      </c>
      <c r="I496" s="29">
        <v>21419430893</v>
      </c>
      <c r="J496" s="125"/>
      <c r="K496" s="127"/>
    </row>
    <row r="497" spans="1:11" ht="27.6" x14ac:dyDescent="0.3">
      <c r="A497" s="125"/>
      <c r="B497" s="140"/>
      <c r="C497" s="127"/>
      <c r="D497" s="127"/>
      <c r="E497" s="125"/>
      <c r="F497" s="19" t="s">
        <v>98</v>
      </c>
      <c r="G497" s="30" t="s">
        <v>177</v>
      </c>
      <c r="H497" s="74">
        <v>51595178274</v>
      </c>
      <c r="I497" s="29">
        <v>4978712782</v>
      </c>
      <c r="J497" s="125"/>
      <c r="K497" s="127"/>
    </row>
    <row r="498" spans="1:11" ht="27.6" x14ac:dyDescent="0.3">
      <c r="A498" s="125"/>
      <c r="B498" s="140"/>
      <c r="C498" s="127"/>
      <c r="D498" s="127"/>
      <c r="E498" s="125"/>
      <c r="F498" s="19" t="s">
        <v>168</v>
      </c>
      <c r="G498" s="30" t="s">
        <v>177</v>
      </c>
      <c r="H498" s="74">
        <v>24987417855</v>
      </c>
      <c r="I498" s="29">
        <v>800711000</v>
      </c>
      <c r="J498" s="125"/>
      <c r="K498" s="127"/>
    </row>
    <row r="499" spans="1:11" ht="27.6" x14ac:dyDescent="0.3">
      <c r="A499" s="125"/>
      <c r="B499" s="140"/>
      <c r="C499" s="127"/>
      <c r="D499" s="127"/>
      <c r="E499" s="125"/>
      <c r="F499" s="19" t="s">
        <v>130</v>
      </c>
      <c r="G499" s="30" t="s">
        <v>177</v>
      </c>
      <c r="H499" s="74">
        <v>86148151298</v>
      </c>
      <c r="I499" s="29">
        <v>486159259</v>
      </c>
      <c r="J499" s="125"/>
      <c r="K499" s="127"/>
    </row>
    <row r="500" spans="1:11" x14ac:dyDescent="0.3">
      <c r="A500" s="125"/>
      <c r="B500" s="140"/>
      <c r="C500" s="127"/>
      <c r="D500" s="127"/>
      <c r="E500" s="125"/>
      <c r="F500" s="19" t="s">
        <v>90</v>
      </c>
      <c r="G500" s="30" t="s">
        <v>177</v>
      </c>
      <c r="H500" s="74">
        <v>10512762</v>
      </c>
      <c r="I500" s="30" t="s">
        <v>177</v>
      </c>
      <c r="J500" s="125"/>
      <c r="K500" s="127"/>
    </row>
    <row r="501" spans="1:11" x14ac:dyDescent="0.3">
      <c r="A501" s="125"/>
      <c r="B501" s="140"/>
      <c r="C501" s="127"/>
      <c r="D501" s="127"/>
      <c r="E501" s="125"/>
      <c r="F501" s="19" t="s">
        <v>44</v>
      </c>
      <c r="G501" s="30" t="s">
        <v>177</v>
      </c>
      <c r="H501" s="74">
        <v>8800000000</v>
      </c>
      <c r="I501" s="30" t="s">
        <v>177</v>
      </c>
      <c r="J501" s="125"/>
      <c r="K501" s="127"/>
    </row>
    <row r="502" spans="1:11" x14ac:dyDescent="0.3">
      <c r="A502" s="125"/>
      <c r="B502" s="140"/>
      <c r="C502" s="127"/>
      <c r="D502" s="127"/>
      <c r="E502" s="125"/>
      <c r="F502" s="19" t="s">
        <v>165</v>
      </c>
      <c r="G502" s="30" t="s">
        <v>177</v>
      </c>
      <c r="H502" s="74">
        <v>80000000000</v>
      </c>
      <c r="I502" s="30" t="s">
        <v>177</v>
      </c>
      <c r="J502" s="125"/>
      <c r="K502" s="127"/>
    </row>
    <row r="503" spans="1:11" x14ac:dyDescent="0.3">
      <c r="A503" s="125"/>
      <c r="B503" s="140"/>
      <c r="C503" s="127"/>
      <c r="D503" s="127"/>
      <c r="E503" s="125"/>
      <c r="F503" s="19" t="s">
        <v>164</v>
      </c>
      <c r="G503" s="30" t="s">
        <v>177</v>
      </c>
      <c r="H503" s="74">
        <v>1329132353</v>
      </c>
      <c r="I503" s="30" t="s">
        <v>177</v>
      </c>
      <c r="J503" s="125"/>
      <c r="K503" s="127"/>
    </row>
    <row r="504" spans="1:11" x14ac:dyDescent="0.3">
      <c r="A504" s="125"/>
      <c r="B504" s="140"/>
      <c r="C504" s="127"/>
      <c r="D504" s="127"/>
      <c r="E504" s="125"/>
      <c r="F504" s="19" t="s">
        <v>580</v>
      </c>
      <c r="G504" s="30" t="s">
        <v>177</v>
      </c>
      <c r="H504" s="74">
        <v>19165739110</v>
      </c>
      <c r="I504" s="29">
        <v>13144375100</v>
      </c>
      <c r="J504" s="125"/>
      <c r="K504" s="127"/>
    </row>
    <row r="505" spans="1:11" x14ac:dyDescent="0.3">
      <c r="A505" s="125"/>
      <c r="B505" s="140"/>
      <c r="C505" s="127"/>
      <c r="D505" s="127"/>
      <c r="E505" s="125"/>
      <c r="F505" s="19" t="s">
        <v>101</v>
      </c>
      <c r="G505" s="30" t="s">
        <v>177</v>
      </c>
      <c r="H505" s="74">
        <v>2725741422</v>
      </c>
      <c r="I505" s="29">
        <v>363373267</v>
      </c>
      <c r="J505" s="125"/>
      <c r="K505" s="127"/>
    </row>
    <row r="506" spans="1:11" x14ac:dyDescent="0.3">
      <c r="A506" s="125"/>
      <c r="B506" s="140"/>
      <c r="C506" s="127"/>
      <c r="D506" s="127"/>
      <c r="E506" s="125"/>
      <c r="F506" s="19" t="s">
        <v>29</v>
      </c>
      <c r="G506" s="30" t="s">
        <v>177</v>
      </c>
      <c r="H506" s="74">
        <v>1701207049371</v>
      </c>
      <c r="I506" s="24">
        <f>134252006616</f>
        <v>134252006616</v>
      </c>
      <c r="J506" s="125"/>
      <c r="K506" s="127"/>
    </row>
    <row r="507" spans="1:11" ht="27.6" x14ac:dyDescent="0.3">
      <c r="A507" s="125"/>
      <c r="B507" s="140"/>
      <c r="C507" s="127"/>
      <c r="D507" s="127"/>
      <c r="E507" s="125"/>
      <c r="F507" s="19" t="s">
        <v>166</v>
      </c>
      <c r="G507" s="30" t="s">
        <v>177</v>
      </c>
      <c r="H507" s="74">
        <v>6875920237</v>
      </c>
      <c r="I507" s="30" t="s">
        <v>177</v>
      </c>
      <c r="J507" s="125"/>
      <c r="K507" s="127"/>
    </row>
    <row r="508" spans="1:11" ht="27.6" x14ac:dyDescent="0.3">
      <c r="A508" s="125"/>
      <c r="B508" s="140"/>
      <c r="C508" s="127"/>
      <c r="D508" s="127"/>
      <c r="E508" s="125"/>
      <c r="F508" s="19" t="s">
        <v>171</v>
      </c>
      <c r="G508" s="30" t="s">
        <v>177</v>
      </c>
      <c r="H508" s="74">
        <v>4453924407</v>
      </c>
      <c r="I508" s="30" t="s">
        <v>177</v>
      </c>
      <c r="J508" s="125"/>
      <c r="K508" s="127"/>
    </row>
    <row r="509" spans="1:11" x14ac:dyDescent="0.3">
      <c r="A509" s="125"/>
      <c r="B509" s="140"/>
      <c r="C509" s="127"/>
      <c r="D509" s="127"/>
      <c r="E509" s="125"/>
      <c r="F509" s="19" t="s">
        <v>106</v>
      </c>
      <c r="G509" s="30" t="s">
        <v>177</v>
      </c>
      <c r="H509" s="74">
        <v>56454608750</v>
      </c>
      <c r="I509" s="29">
        <v>3367772035</v>
      </c>
      <c r="J509" s="125"/>
      <c r="K509" s="127"/>
    </row>
    <row r="510" spans="1:11" x14ac:dyDescent="0.3">
      <c r="A510" s="125"/>
      <c r="B510" s="140"/>
      <c r="C510" s="127"/>
      <c r="D510" s="127"/>
      <c r="E510" s="125"/>
      <c r="F510" s="19" t="s">
        <v>7</v>
      </c>
      <c r="G510" s="30" t="s">
        <v>177</v>
      </c>
      <c r="H510" s="74">
        <v>905272824</v>
      </c>
      <c r="I510" s="29">
        <v>5851523</v>
      </c>
      <c r="J510" s="125"/>
      <c r="K510" s="127"/>
    </row>
    <row r="511" spans="1:11" ht="27.6" x14ac:dyDescent="0.3">
      <c r="A511" s="125"/>
      <c r="B511" s="140"/>
      <c r="C511" s="127"/>
      <c r="D511" s="127"/>
      <c r="E511" s="125"/>
      <c r="F511" s="19" t="s">
        <v>31</v>
      </c>
      <c r="G511" s="30" t="s">
        <v>177</v>
      </c>
      <c r="H511" s="74">
        <v>172432344386</v>
      </c>
      <c r="I511" s="29">
        <v>68596877165</v>
      </c>
      <c r="J511" s="125"/>
      <c r="K511" s="127"/>
    </row>
    <row r="512" spans="1:11" x14ac:dyDescent="0.3">
      <c r="A512" s="125"/>
      <c r="B512" s="140"/>
      <c r="C512" s="127"/>
      <c r="D512" s="127"/>
      <c r="E512" s="125"/>
      <c r="F512" s="19" t="s">
        <v>48</v>
      </c>
      <c r="G512" s="30" t="s">
        <v>177</v>
      </c>
      <c r="H512" s="74">
        <v>19596695623</v>
      </c>
      <c r="I512" s="29">
        <v>18401617363</v>
      </c>
      <c r="J512" s="125"/>
      <c r="K512" s="127"/>
    </row>
    <row r="513" spans="1:11" x14ac:dyDescent="0.3">
      <c r="A513" s="125"/>
      <c r="B513" s="140"/>
      <c r="C513" s="127"/>
      <c r="D513" s="127"/>
      <c r="E513" s="125"/>
      <c r="F513" s="19" t="s">
        <v>49</v>
      </c>
      <c r="G513" s="30" t="s">
        <v>177</v>
      </c>
      <c r="H513" s="74">
        <v>8336725382</v>
      </c>
      <c r="I513" s="29">
        <v>1199764957</v>
      </c>
      <c r="J513" s="125"/>
      <c r="K513" s="127"/>
    </row>
    <row r="514" spans="1:11" ht="27.6" x14ac:dyDescent="0.3">
      <c r="A514" s="125"/>
      <c r="B514" s="140"/>
      <c r="C514" s="127"/>
      <c r="D514" s="127"/>
      <c r="E514" s="125"/>
      <c r="F514" s="19" t="s">
        <v>33</v>
      </c>
      <c r="G514" s="30" t="s">
        <v>177</v>
      </c>
      <c r="H514" s="74">
        <v>1622211542711</v>
      </c>
      <c r="I514" s="29">
        <v>7967977210</v>
      </c>
      <c r="J514" s="125"/>
      <c r="K514" s="127"/>
    </row>
    <row r="515" spans="1:11" ht="27.6" x14ac:dyDescent="0.3">
      <c r="A515" s="125"/>
      <c r="B515" s="140"/>
      <c r="C515" s="127"/>
      <c r="D515" s="127"/>
      <c r="E515" s="125"/>
      <c r="F515" s="19" t="s">
        <v>108</v>
      </c>
      <c r="G515" s="30" t="s">
        <v>177</v>
      </c>
      <c r="H515" s="74">
        <v>34763941479</v>
      </c>
      <c r="I515" s="24">
        <f>4975445218</f>
        <v>4975445218</v>
      </c>
      <c r="J515" s="125"/>
      <c r="K515" s="127"/>
    </row>
    <row r="516" spans="1:11" x14ac:dyDescent="0.3">
      <c r="A516" s="125"/>
      <c r="B516" s="140"/>
      <c r="C516" s="127"/>
      <c r="D516" s="127"/>
      <c r="E516" s="125"/>
      <c r="F516" s="19" t="s">
        <v>110</v>
      </c>
      <c r="G516" s="30" t="s">
        <v>177</v>
      </c>
      <c r="H516" s="74">
        <v>12471334546</v>
      </c>
      <c r="I516" s="30" t="s">
        <v>177</v>
      </c>
      <c r="J516" s="125"/>
      <c r="K516" s="127"/>
    </row>
    <row r="517" spans="1:11" ht="27.6" x14ac:dyDescent="0.3">
      <c r="A517" s="125"/>
      <c r="B517" s="140"/>
      <c r="C517" s="127"/>
      <c r="D517" s="127"/>
      <c r="E517" s="125"/>
      <c r="F517" s="19" t="s">
        <v>52</v>
      </c>
      <c r="G517" s="30" t="s">
        <v>177</v>
      </c>
      <c r="H517" s="74">
        <v>9100599672</v>
      </c>
      <c r="I517" s="24">
        <f>621954516</f>
        <v>621954516</v>
      </c>
      <c r="J517" s="125"/>
      <c r="K517" s="127"/>
    </row>
    <row r="518" spans="1:11" ht="27.6" x14ac:dyDescent="0.3">
      <c r="A518" s="125"/>
      <c r="B518" s="140"/>
      <c r="C518" s="127"/>
      <c r="D518" s="127"/>
      <c r="E518" s="125"/>
      <c r="F518" s="19" t="s">
        <v>172</v>
      </c>
      <c r="G518" s="30" t="s">
        <v>177</v>
      </c>
      <c r="H518" s="74"/>
      <c r="I518" s="17"/>
      <c r="J518" s="125"/>
      <c r="K518" s="127"/>
    </row>
    <row r="519" spans="1:11" ht="15.75" customHeight="1" x14ac:dyDescent="0.3">
      <c r="A519" s="125"/>
      <c r="B519" s="140"/>
      <c r="C519" s="127"/>
      <c r="D519" s="127"/>
      <c r="E519" s="125"/>
      <c r="F519" s="19" t="s">
        <v>53</v>
      </c>
      <c r="G519" s="30" t="s">
        <v>177</v>
      </c>
      <c r="H519" s="74">
        <v>1986159224</v>
      </c>
      <c r="I519" s="24">
        <f>377764105</f>
        <v>377764105</v>
      </c>
      <c r="J519" s="125"/>
      <c r="K519" s="127"/>
    </row>
    <row r="520" spans="1:11" ht="27.6" x14ac:dyDescent="0.3">
      <c r="A520" s="125"/>
      <c r="B520" s="140"/>
      <c r="C520" s="127"/>
      <c r="D520" s="127"/>
      <c r="E520" s="125"/>
      <c r="F520" s="19" t="s">
        <v>54</v>
      </c>
      <c r="G520" s="30" t="s">
        <v>177</v>
      </c>
      <c r="H520" s="74">
        <v>298086559680</v>
      </c>
      <c r="I520" s="30" t="s">
        <v>177</v>
      </c>
      <c r="J520" s="125"/>
      <c r="K520" s="127"/>
    </row>
    <row r="521" spans="1:11" ht="27.6" x14ac:dyDescent="0.3">
      <c r="A521" s="125"/>
      <c r="B521" s="140"/>
      <c r="C521" s="127"/>
      <c r="D521" s="127"/>
      <c r="E521" s="125"/>
      <c r="F521" s="19" t="s">
        <v>34</v>
      </c>
      <c r="G521" s="30" t="s">
        <v>177</v>
      </c>
      <c r="H521" s="74">
        <v>28692098251</v>
      </c>
      <c r="I521" s="30" t="s">
        <v>177</v>
      </c>
      <c r="J521" s="125"/>
      <c r="K521" s="127"/>
    </row>
    <row r="522" spans="1:11" x14ac:dyDescent="0.3">
      <c r="A522" s="125"/>
      <c r="B522" s="140"/>
      <c r="C522" s="127"/>
      <c r="D522" s="127"/>
      <c r="E522" s="125"/>
      <c r="F522" s="19" t="s">
        <v>56</v>
      </c>
      <c r="G522" s="30" t="s">
        <v>177</v>
      </c>
      <c r="H522" s="74">
        <v>85059207368</v>
      </c>
      <c r="I522" s="29">
        <v>6067635324</v>
      </c>
      <c r="J522" s="125"/>
      <c r="K522" s="127"/>
    </row>
    <row r="523" spans="1:11" x14ac:dyDescent="0.3">
      <c r="A523" s="125"/>
      <c r="B523" s="140"/>
      <c r="C523" s="127"/>
      <c r="D523" s="127"/>
      <c r="E523" s="125"/>
      <c r="F523" s="19" t="s">
        <v>173</v>
      </c>
      <c r="G523" s="30" t="s">
        <v>177</v>
      </c>
      <c r="H523" s="74">
        <v>20001456469</v>
      </c>
      <c r="I523" s="29">
        <v>11034346644</v>
      </c>
      <c r="J523" s="125"/>
      <c r="K523" s="127"/>
    </row>
    <row r="524" spans="1:11" x14ac:dyDescent="0.3">
      <c r="A524" s="125"/>
      <c r="B524" s="140"/>
      <c r="C524" s="127"/>
      <c r="D524" s="127"/>
      <c r="E524" s="125"/>
      <c r="F524" s="19" t="s">
        <v>111</v>
      </c>
      <c r="G524" s="30" t="s">
        <v>177</v>
      </c>
      <c r="H524" s="74">
        <v>77343464989</v>
      </c>
      <c r="I524" s="30" t="s">
        <v>177</v>
      </c>
      <c r="J524" s="125"/>
      <c r="K524" s="127"/>
    </row>
    <row r="525" spans="1:11" ht="27.6" x14ac:dyDescent="0.3">
      <c r="A525" s="125"/>
      <c r="B525" s="140"/>
      <c r="C525" s="127"/>
      <c r="D525" s="127"/>
      <c r="E525" s="125"/>
      <c r="F525" s="19" t="s">
        <v>167</v>
      </c>
      <c r="G525" s="30" t="s">
        <v>177</v>
      </c>
      <c r="H525" s="74">
        <v>900723675</v>
      </c>
      <c r="I525" s="29">
        <v>900723675</v>
      </c>
      <c r="J525" s="125"/>
      <c r="K525" s="127"/>
    </row>
    <row r="526" spans="1:11" x14ac:dyDescent="0.3">
      <c r="A526" s="30">
        <v>12</v>
      </c>
      <c r="B526" s="15">
        <v>43088</v>
      </c>
      <c r="C526" s="17">
        <v>41303</v>
      </c>
      <c r="D526" s="17">
        <v>3204</v>
      </c>
      <c r="E526" s="30" t="s">
        <v>15</v>
      </c>
      <c r="F526" s="19" t="s">
        <v>18</v>
      </c>
      <c r="G526" s="30" t="s">
        <v>177</v>
      </c>
      <c r="H526" s="30" t="s">
        <v>177</v>
      </c>
      <c r="I526" s="29">
        <v>639559699</v>
      </c>
      <c r="J526" s="17">
        <f>K526-I526</f>
        <v>528095237</v>
      </c>
      <c r="K526" s="17">
        <v>1167654936</v>
      </c>
    </row>
    <row r="527" spans="1:11" ht="27.6" x14ac:dyDescent="0.3">
      <c r="A527" s="125">
        <v>12</v>
      </c>
      <c r="B527" s="140">
        <v>43088</v>
      </c>
      <c r="C527" s="155">
        <v>41303</v>
      </c>
      <c r="D527" s="155">
        <v>3205</v>
      </c>
      <c r="E527" s="126" t="s">
        <v>15</v>
      </c>
      <c r="F527" s="126" t="s">
        <v>14</v>
      </c>
      <c r="G527" s="22" t="s">
        <v>69</v>
      </c>
      <c r="H527" s="74">
        <v>150000000</v>
      </c>
      <c r="I527" s="127">
        <v>10911320035</v>
      </c>
      <c r="J527" s="141">
        <f>K527-18611320035</f>
        <v>3646288041</v>
      </c>
      <c r="K527" s="141">
        <v>22257608076</v>
      </c>
    </row>
    <row r="528" spans="1:11" ht="27.6" x14ac:dyDescent="0.3">
      <c r="A528" s="125"/>
      <c r="B528" s="140"/>
      <c r="C528" s="155"/>
      <c r="D528" s="155"/>
      <c r="E528" s="126"/>
      <c r="F528" s="126"/>
      <c r="G528" s="22" t="s">
        <v>68</v>
      </c>
      <c r="H528" s="74">
        <v>50000000</v>
      </c>
      <c r="I528" s="127"/>
      <c r="J528" s="141"/>
      <c r="K528" s="141"/>
    </row>
    <row r="529" spans="1:11" x14ac:dyDescent="0.3">
      <c r="A529" s="125"/>
      <c r="B529" s="140"/>
      <c r="C529" s="155"/>
      <c r="D529" s="155"/>
      <c r="E529" s="126"/>
      <c r="F529" s="126"/>
      <c r="G529" s="22" t="s">
        <v>70</v>
      </c>
      <c r="H529" s="74">
        <v>300000000</v>
      </c>
      <c r="I529" s="127"/>
      <c r="J529" s="141"/>
      <c r="K529" s="141"/>
    </row>
    <row r="530" spans="1:11" ht="27.6" x14ac:dyDescent="0.3">
      <c r="A530" s="125"/>
      <c r="B530" s="140"/>
      <c r="C530" s="155"/>
      <c r="D530" s="155"/>
      <c r="E530" s="126"/>
      <c r="F530" s="126"/>
      <c r="G530" s="22" t="s">
        <v>95</v>
      </c>
      <c r="H530" s="74">
        <v>450000000</v>
      </c>
      <c r="I530" s="127"/>
      <c r="J530" s="141"/>
      <c r="K530" s="141"/>
    </row>
    <row r="531" spans="1:11" x14ac:dyDescent="0.3">
      <c r="A531" s="125"/>
      <c r="B531" s="140"/>
      <c r="C531" s="155"/>
      <c r="D531" s="155"/>
      <c r="E531" s="126"/>
      <c r="F531" s="126"/>
      <c r="G531" s="22" t="s">
        <v>66</v>
      </c>
      <c r="H531" s="74">
        <v>100000000</v>
      </c>
      <c r="I531" s="127"/>
      <c r="J531" s="141"/>
      <c r="K531" s="141"/>
    </row>
    <row r="532" spans="1:11" x14ac:dyDescent="0.3">
      <c r="A532" s="125"/>
      <c r="B532" s="140"/>
      <c r="C532" s="155"/>
      <c r="D532" s="155"/>
      <c r="E532" s="126"/>
      <c r="F532" s="126"/>
      <c r="G532" s="22" t="s">
        <v>160</v>
      </c>
      <c r="H532" s="74">
        <v>50000000</v>
      </c>
      <c r="I532" s="127"/>
      <c r="J532" s="141"/>
      <c r="K532" s="141"/>
    </row>
    <row r="533" spans="1:11" x14ac:dyDescent="0.3">
      <c r="A533" s="125"/>
      <c r="B533" s="140"/>
      <c r="C533" s="155"/>
      <c r="D533" s="155"/>
      <c r="E533" s="126"/>
      <c r="F533" s="126"/>
      <c r="G533" s="22" t="s">
        <v>65</v>
      </c>
      <c r="H533" s="74">
        <v>150000000</v>
      </c>
      <c r="I533" s="127"/>
      <c r="J533" s="141"/>
      <c r="K533" s="141"/>
    </row>
    <row r="534" spans="1:11" x14ac:dyDescent="0.3">
      <c r="A534" s="125"/>
      <c r="B534" s="140"/>
      <c r="C534" s="155"/>
      <c r="D534" s="155"/>
      <c r="E534" s="126"/>
      <c r="F534" s="126"/>
      <c r="G534" s="22" t="s">
        <v>62</v>
      </c>
      <c r="H534" s="74">
        <v>3000000000</v>
      </c>
      <c r="I534" s="127"/>
      <c r="J534" s="141"/>
      <c r="K534" s="141"/>
    </row>
    <row r="535" spans="1:11" x14ac:dyDescent="0.3">
      <c r="A535" s="125"/>
      <c r="B535" s="140"/>
      <c r="C535" s="155"/>
      <c r="D535" s="155"/>
      <c r="E535" s="126"/>
      <c r="F535" s="126"/>
      <c r="G535" s="38" t="s">
        <v>63</v>
      </c>
      <c r="H535" s="74">
        <v>950000000</v>
      </c>
      <c r="I535" s="127"/>
      <c r="J535" s="141"/>
      <c r="K535" s="141"/>
    </row>
    <row r="536" spans="1:11" x14ac:dyDescent="0.3">
      <c r="A536" s="125"/>
      <c r="B536" s="140"/>
      <c r="C536" s="155"/>
      <c r="D536" s="155"/>
      <c r="E536" s="126"/>
      <c r="F536" s="126"/>
      <c r="G536" s="38" t="s">
        <v>161</v>
      </c>
      <c r="H536" s="74">
        <v>2000000000</v>
      </c>
      <c r="I536" s="127"/>
      <c r="J536" s="141"/>
      <c r="K536" s="141"/>
    </row>
    <row r="537" spans="1:11" ht="27.6" x14ac:dyDescent="0.3">
      <c r="A537" s="125"/>
      <c r="B537" s="140"/>
      <c r="C537" s="155"/>
      <c r="D537" s="155"/>
      <c r="E537" s="126"/>
      <c r="F537" s="126"/>
      <c r="G537" s="38" t="s">
        <v>71</v>
      </c>
      <c r="H537" s="74">
        <v>500000000</v>
      </c>
      <c r="I537" s="127"/>
      <c r="J537" s="141"/>
      <c r="K537" s="141"/>
    </row>
    <row r="538" spans="1:11" x14ac:dyDescent="0.3">
      <c r="A538" s="30">
        <v>12</v>
      </c>
      <c r="B538" s="15">
        <v>43088</v>
      </c>
      <c r="C538" s="17">
        <v>41303</v>
      </c>
      <c r="D538" s="17">
        <v>3206</v>
      </c>
      <c r="E538" s="30" t="s">
        <v>15</v>
      </c>
      <c r="F538" s="19" t="s">
        <v>14</v>
      </c>
      <c r="G538" s="20" t="s">
        <v>65</v>
      </c>
      <c r="H538" s="74">
        <v>2515993845</v>
      </c>
      <c r="I538" s="29"/>
      <c r="J538" s="17">
        <f>K538-H538</f>
        <v>14655318400</v>
      </c>
      <c r="K538" s="17">
        <v>17171312245</v>
      </c>
    </row>
    <row r="539" spans="1:11" x14ac:dyDescent="0.3">
      <c r="A539" s="30">
        <v>12</v>
      </c>
      <c r="B539" s="15">
        <v>43088</v>
      </c>
      <c r="C539" s="17">
        <v>41303</v>
      </c>
      <c r="D539" s="17">
        <v>3207</v>
      </c>
      <c r="E539" s="30" t="s">
        <v>15</v>
      </c>
      <c r="F539" s="19" t="s">
        <v>14</v>
      </c>
      <c r="G539" s="30" t="s">
        <v>177</v>
      </c>
      <c r="H539" s="30" t="s">
        <v>177</v>
      </c>
      <c r="I539" s="30" t="s">
        <v>177</v>
      </c>
      <c r="J539" s="17">
        <f>K539</f>
        <v>8192485669</v>
      </c>
      <c r="K539" s="17">
        <v>8192485669</v>
      </c>
    </row>
    <row r="540" spans="1:11" x14ac:dyDescent="0.3">
      <c r="A540" s="30">
        <v>12</v>
      </c>
      <c r="B540" s="15">
        <v>43088</v>
      </c>
      <c r="C540" s="17">
        <v>41303</v>
      </c>
      <c r="D540" s="17">
        <v>3208</v>
      </c>
      <c r="E540" s="30" t="s">
        <v>15</v>
      </c>
      <c r="F540" s="19" t="s">
        <v>14</v>
      </c>
      <c r="G540" s="30" t="s">
        <v>177</v>
      </c>
      <c r="H540" s="30" t="s">
        <v>177</v>
      </c>
      <c r="I540" s="30" t="s">
        <v>177</v>
      </c>
      <c r="J540" s="17">
        <f>K540</f>
        <v>4598456864</v>
      </c>
      <c r="K540" s="17">
        <v>4598456864</v>
      </c>
    </row>
    <row r="541" spans="1:11" ht="27.6" x14ac:dyDescent="0.3">
      <c r="A541" s="128">
        <v>12</v>
      </c>
      <c r="B541" s="134">
        <v>43088</v>
      </c>
      <c r="C541" s="128">
        <v>41303</v>
      </c>
      <c r="D541" s="128">
        <v>3209</v>
      </c>
      <c r="E541" s="137" t="s">
        <v>15</v>
      </c>
      <c r="F541" s="137" t="s">
        <v>14</v>
      </c>
      <c r="G541" s="22" t="s">
        <v>69</v>
      </c>
      <c r="H541" s="74">
        <f>150000000+250000000</f>
        <v>400000000</v>
      </c>
      <c r="I541" s="30" t="s">
        <v>177</v>
      </c>
      <c r="J541" s="127">
        <f>K541-14500000000</f>
        <v>9082787900</v>
      </c>
      <c r="K541" s="127">
        <v>23582787900</v>
      </c>
    </row>
    <row r="542" spans="1:11" ht="27.6" x14ac:dyDescent="0.3">
      <c r="A542" s="129"/>
      <c r="B542" s="135"/>
      <c r="C542" s="129"/>
      <c r="D542" s="129"/>
      <c r="E542" s="138"/>
      <c r="F542" s="138"/>
      <c r="G542" s="22" t="s">
        <v>68</v>
      </c>
      <c r="H542" s="74">
        <v>300000000</v>
      </c>
      <c r="I542" s="30" t="s">
        <v>177</v>
      </c>
      <c r="J542" s="125"/>
      <c r="K542" s="127"/>
    </row>
    <row r="543" spans="1:11" x14ac:dyDescent="0.3">
      <c r="A543" s="129"/>
      <c r="B543" s="135"/>
      <c r="C543" s="129"/>
      <c r="D543" s="129"/>
      <c r="E543" s="138"/>
      <c r="F543" s="138"/>
      <c r="G543" s="22" t="s">
        <v>70</v>
      </c>
      <c r="H543" s="74">
        <v>200000000</v>
      </c>
      <c r="I543" s="30" t="s">
        <v>177</v>
      </c>
      <c r="J543" s="125"/>
      <c r="K543" s="127"/>
    </row>
    <row r="544" spans="1:11" ht="27.6" x14ac:dyDescent="0.3">
      <c r="A544" s="129"/>
      <c r="B544" s="135"/>
      <c r="C544" s="129"/>
      <c r="D544" s="129"/>
      <c r="E544" s="138"/>
      <c r="F544" s="138"/>
      <c r="G544" s="22" t="s">
        <v>95</v>
      </c>
      <c r="H544" s="74">
        <v>4000000000</v>
      </c>
      <c r="I544" s="30" t="s">
        <v>177</v>
      </c>
      <c r="J544" s="125"/>
      <c r="K544" s="127"/>
    </row>
    <row r="545" spans="1:11" x14ac:dyDescent="0.3">
      <c r="A545" s="129"/>
      <c r="B545" s="135"/>
      <c r="C545" s="129"/>
      <c r="D545" s="129"/>
      <c r="E545" s="138"/>
      <c r="F545" s="138"/>
      <c r="G545" s="22" t="s">
        <v>66</v>
      </c>
      <c r="H545" s="74">
        <v>850000000</v>
      </c>
      <c r="I545" s="30" t="s">
        <v>177</v>
      </c>
      <c r="J545" s="125"/>
      <c r="K545" s="127"/>
    </row>
    <row r="546" spans="1:11" x14ac:dyDescent="0.3">
      <c r="A546" s="129"/>
      <c r="B546" s="135"/>
      <c r="C546" s="129"/>
      <c r="D546" s="129"/>
      <c r="E546" s="138"/>
      <c r="F546" s="138"/>
      <c r="G546" s="22" t="s">
        <v>160</v>
      </c>
      <c r="H546" s="74">
        <v>150000000</v>
      </c>
      <c r="I546" s="30" t="s">
        <v>177</v>
      </c>
      <c r="J546" s="125"/>
      <c r="K546" s="127"/>
    </row>
    <row r="547" spans="1:11" x14ac:dyDescent="0.3">
      <c r="A547" s="129"/>
      <c r="B547" s="135"/>
      <c r="C547" s="129"/>
      <c r="D547" s="129"/>
      <c r="E547" s="138"/>
      <c r="F547" s="138"/>
      <c r="G547" s="22" t="s">
        <v>62</v>
      </c>
      <c r="H547" s="74">
        <v>2000000000</v>
      </c>
      <c r="I547" s="30" t="s">
        <v>177</v>
      </c>
      <c r="J547" s="125"/>
      <c r="K547" s="127"/>
    </row>
    <row r="548" spans="1:11" x14ac:dyDescent="0.3">
      <c r="A548" s="129"/>
      <c r="B548" s="135"/>
      <c r="C548" s="129"/>
      <c r="D548" s="129"/>
      <c r="E548" s="138"/>
      <c r="F548" s="138"/>
      <c r="G548" s="38" t="s">
        <v>63</v>
      </c>
      <c r="H548" s="74">
        <v>100000000</v>
      </c>
      <c r="I548" s="30" t="s">
        <v>177</v>
      </c>
      <c r="J548" s="125"/>
      <c r="K548" s="127"/>
    </row>
    <row r="549" spans="1:11" x14ac:dyDescent="0.3">
      <c r="A549" s="129"/>
      <c r="B549" s="135"/>
      <c r="C549" s="129"/>
      <c r="D549" s="129"/>
      <c r="E549" s="138"/>
      <c r="F549" s="138"/>
      <c r="G549" s="38" t="s">
        <v>161</v>
      </c>
      <c r="H549" s="74">
        <f>1500000000+1000000000</f>
        <v>2500000000</v>
      </c>
      <c r="I549" s="30" t="s">
        <v>177</v>
      </c>
      <c r="J549" s="125"/>
      <c r="K549" s="127"/>
    </row>
    <row r="550" spans="1:11" ht="27.6" x14ac:dyDescent="0.3">
      <c r="A550" s="130"/>
      <c r="B550" s="136"/>
      <c r="C550" s="130"/>
      <c r="D550" s="130"/>
      <c r="E550" s="139"/>
      <c r="F550" s="139"/>
      <c r="G550" s="38" t="s">
        <v>71</v>
      </c>
      <c r="H550" s="74">
        <v>4000000000</v>
      </c>
      <c r="I550" s="30" t="s">
        <v>177</v>
      </c>
      <c r="J550" s="125"/>
      <c r="K550" s="127"/>
    </row>
    <row r="551" spans="1:11" x14ac:dyDescent="0.3">
      <c r="A551" s="30">
        <v>12</v>
      </c>
      <c r="B551" s="15">
        <v>43088</v>
      </c>
      <c r="C551" s="17">
        <v>41303</v>
      </c>
      <c r="D551" s="17">
        <v>3210</v>
      </c>
      <c r="E551" s="30" t="s">
        <v>15</v>
      </c>
      <c r="F551" s="19" t="s">
        <v>18</v>
      </c>
      <c r="G551" s="20" t="s">
        <v>112</v>
      </c>
      <c r="H551" s="74">
        <v>38993810</v>
      </c>
      <c r="I551" s="29">
        <f>K551-H551</f>
        <v>220964926</v>
      </c>
      <c r="J551" s="30"/>
      <c r="K551" s="17">
        <v>259958736</v>
      </c>
    </row>
    <row r="552" spans="1:11" x14ac:dyDescent="0.3">
      <c r="A552" s="30">
        <v>12</v>
      </c>
      <c r="B552" s="15">
        <v>43088</v>
      </c>
      <c r="C552" s="17">
        <v>41303</v>
      </c>
      <c r="D552" s="17">
        <v>3211</v>
      </c>
      <c r="E552" s="30" t="s">
        <v>15</v>
      </c>
      <c r="F552" s="19" t="s">
        <v>176</v>
      </c>
      <c r="G552" s="30" t="s">
        <v>177</v>
      </c>
      <c r="H552" s="30" t="s">
        <v>177</v>
      </c>
      <c r="I552" s="29">
        <v>27924033448</v>
      </c>
      <c r="J552" s="29">
        <f>K552-I552</f>
        <v>8828814169</v>
      </c>
      <c r="K552" s="17">
        <v>36752847617</v>
      </c>
    </row>
    <row r="553" spans="1:11" ht="27.6" x14ac:dyDescent="0.3">
      <c r="A553" s="125">
        <v>12</v>
      </c>
      <c r="B553" s="140">
        <v>43091</v>
      </c>
      <c r="C553" s="127">
        <v>41306</v>
      </c>
      <c r="D553" s="127">
        <v>3221</v>
      </c>
      <c r="E553" s="125" t="s">
        <v>15</v>
      </c>
      <c r="F553" s="126" t="s">
        <v>14</v>
      </c>
      <c r="G553" s="22" t="s">
        <v>69</v>
      </c>
      <c r="H553" s="74">
        <v>1109771809</v>
      </c>
      <c r="I553" s="141">
        <v>57250195819</v>
      </c>
      <c r="J553" s="127">
        <f>K553-78198949785</f>
        <v>24457872158</v>
      </c>
      <c r="K553" s="127">
        <v>102656821943</v>
      </c>
    </row>
    <row r="554" spans="1:11" ht="27.6" x14ac:dyDescent="0.3">
      <c r="A554" s="125"/>
      <c r="B554" s="140"/>
      <c r="C554" s="127"/>
      <c r="D554" s="127"/>
      <c r="E554" s="125"/>
      <c r="F554" s="126"/>
      <c r="G554" s="22" t="s">
        <v>68</v>
      </c>
      <c r="H554" s="74">
        <v>836909207</v>
      </c>
      <c r="I554" s="141"/>
      <c r="J554" s="127"/>
      <c r="K554" s="127"/>
    </row>
    <row r="555" spans="1:11" x14ac:dyDescent="0.3">
      <c r="A555" s="125"/>
      <c r="B555" s="140"/>
      <c r="C555" s="127"/>
      <c r="D555" s="127"/>
      <c r="E555" s="125"/>
      <c r="F555" s="126"/>
      <c r="G555" s="22" t="s">
        <v>70</v>
      </c>
      <c r="H555" s="74">
        <v>210000000</v>
      </c>
      <c r="I555" s="141"/>
      <c r="J555" s="127"/>
      <c r="K555" s="127"/>
    </row>
    <row r="556" spans="1:11" ht="27.6" x14ac:dyDescent="0.3">
      <c r="A556" s="125"/>
      <c r="B556" s="140"/>
      <c r="C556" s="127"/>
      <c r="D556" s="127"/>
      <c r="E556" s="125"/>
      <c r="F556" s="126"/>
      <c r="G556" s="22" t="s">
        <v>95</v>
      </c>
      <c r="H556" s="74">
        <v>633447125</v>
      </c>
      <c r="I556" s="141"/>
      <c r="J556" s="127"/>
      <c r="K556" s="127"/>
    </row>
    <row r="557" spans="1:11" x14ac:dyDescent="0.3">
      <c r="A557" s="125"/>
      <c r="B557" s="140"/>
      <c r="C557" s="127"/>
      <c r="D557" s="127"/>
      <c r="E557" s="125"/>
      <c r="F557" s="126"/>
      <c r="G557" s="22" t="s">
        <v>66</v>
      </c>
      <c r="H557" s="74">
        <v>352939689</v>
      </c>
      <c r="I557" s="141"/>
      <c r="J557" s="127"/>
      <c r="K557" s="127"/>
    </row>
    <row r="558" spans="1:11" x14ac:dyDescent="0.3">
      <c r="A558" s="125"/>
      <c r="B558" s="140"/>
      <c r="C558" s="127"/>
      <c r="D558" s="127"/>
      <c r="E558" s="125"/>
      <c r="F558" s="126"/>
      <c r="G558" s="22" t="s">
        <v>160</v>
      </c>
      <c r="H558" s="74">
        <v>105000000</v>
      </c>
      <c r="I558" s="141"/>
      <c r="J558" s="127"/>
      <c r="K558" s="127"/>
    </row>
    <row r="559" spans="1:11" x14ac:dyDescent="0.3">
      <c r="A559" s="125"/>
      <c r="B559" s="140"/>
      <c r="C559" s="127"/>
      <c r="D559" s="127"/>
      <c r="E559" s="125"/>
      <c r="F559" s="126"/>
      <c r="G559" s="22" t="s">
        <v>62</v>
      </c>
      <c r="H559" s="74">
        <v>1302195828</v>
      </c>
      <c r="I559" s="141"/>
      <c r="J559" s="127"/>
      <c r="K559" s="127"/>
    </row>
    <row r="560" spans="1:11" x14ac:dyDescent="0.3">
      <c r="A560" s="125"/>
      <c r="B560" s="140"/>
      <c r="C560" s="127"/>
      <c r="D560" s="127"/>
      <c r="E560" s="125"/>
      <c r="F560" s="126"/>
      <c r="G560" s="38" t="s">
        <v>161</v>
      </c>
      <c r="H560" s="74">
        <v>11787391174</v>
      </c>
      <c r="I560" s="141"/>
      <c r="J560" s="127"/>
      <c r="K560" s="127"/>
    </row>
    <row r="561" spans="1:11" ht="27.6" x14ac:dyDescent="0.3">
      <c r="A561" s="125"/>
      <c r="B561" s="140"/>
      <c r="C561" s="127"/>
      <c r="D561" s="127"/>
      <c r="E561" s="125"/>
      <c r="F561" s="126"/>
      <c r="G561" s="38" t="s">
        <v>71</v>
      </c>
      <c r="H561" s="74">
        <v>4611099134</v>
      </c>
      <c r="I561" s="141"/>
      <c r="J561" s="127"/>
      <c r="K561" s="127"/>
    </row>
    <row r="562" spans="1:11" x14ac:dyDescent="0.3">
      <c r="A562" s="30">
        <v>12</v>
      </c>
      <c r="B562" s="15">
        <v>43091</v>
      </c>
      <c r="C562" s="17">
        <v>41306</v>
      </c>
      <c r="D562" s="17">
        <v>3222</v>
      </c>
      <c r="E562" s="30" t="s">
        <v>15</v>
      </c>
      <c r="F562" s="19" t="s">
        <v>14</v>
      </c>
      <c r="G562" s="30" t="s">
        <v>177</v>
      </c>
      <c r="H562" s="30" t="s">
        <v>177</v>
      </c>
      <c r="I562" s="30" t="s">
        <v>177</v>
      </c>
      <c r="J562" s="29">
        <f>K562</f>
        <v>2597152811</v>
      </c>
      <c r="K562" s="17">
        <v>2597152811</v>
      </c>
    </row>
    <row r="563" spans="1:11" x14ac:dyDescent="0.3">
      <c r="A563" s="30">
        <v>12</v>
      </c>
      <c r="B563" s="15">
        <v>43091</v>
      </c>
      <c r="C563" s="17">
        <v>41306</v>
      </c>
      <c r="D563" s="17">
        <v>3223</v>
      </c>
      <c r="E563" s="30" t="s">
        <v>15</v>
      </c>
      <c r="F563" s="19" t="s">
        <v>18</v>
      </c>
      <c r="G563" s="30" t="s">
        <v>177</v>
      </c>
      <c r="H563" s="30" t="s">
        <v>177</v>
      </c>
      <c r="I563" s="29">
        <f>K563</f>
        <v>806308573</v>
      </c>
      <c r="J563" s="29"/>
      <c r="K563" s="17">
        <v>806308573</v>
      </c>
    </row>
    <row r="564" spans="1:11" ht="27.6" x14ac:dyDescent="0.3">
      <c r="A564" s="30">
        <v>12</v>
      </c>
      <c r="B564" s="15">
        <v>43091</v>
      </c>
      <c r="C564" s="17">
        <v>6352</v>
      </c>
      <c r="D564" s="17">
        <v>3225</v>
      </c>
      <c r="E564" s="30" t="s">
        <v>15</v>
      </c>
      <c r="F564" s="19" t="s">
        <v>41</v>
      </c>
      <c r="G564" s="20" t="s">
        <v>174</v>
      </c>
      <c r="H564" s="30" t="s">
        <v>177</v>
      </c>
      <c r="I564" s="30" t="s">
        <v>177</v>
      </c>
      <c r="J564" s="30" t="s">
        <v>177</v>
      </c>
      <c r="K564" s="17">
        <v>3301530388772</v>
      </c>
    </row>
    <row r="565" spans="1:11" ht="27.6" x14ac:dyDescent="0.3">
      <c r="A565" s="30">
        <v>12</v>
      </c>
      <c r="B565" s="15">
        <v>43091</v>
      </c>
      <c r="C565" s="17">
        <v>6352</v>
      </c>
      <c r="D565" s="17">
        <v>3226</v>
      </c>
      <c r="E565" s="30" t="s">
        <v>15</v>
      </c>
      <c r="F565" s="19" t="s">
        <v>41</v>
      </c>
      <c r="G565" s="20" t="s">
        <v>174</v>
      </c>
      <c r="H565" s="30" t="s">
        <v>177</v>
      </c>
      <c r="I565" s="30" t="s">
        <v>177</v>
      </c>
      <c r="J565" s="30" t="s">
        <v>177</v>
      </c>
      <c r="K565" s="17">
        <v>260324377827</v>
      </c>
    </row>
    <row r="566" spans="1:11" x14ac:dyDescent="0.3">
      <c r="A566" s="30">
        <v>12</v>
      </c>
      <c r="B566" s="15">
        <v>43091</v>
      </c>
      <c r="C566" s="17">
        <v>6352</v>
      </c>
      <c r="D566" s="17">
        <v>3227</v>
      </c>
      <c r="E566" s="30" t="s">
        <v>15</v>
      </c>
      <c r="F566" s="19" t="s">
        <v>25</v>
      </c>
      <c r="G566" s="87" t="s">
        <v>175</v>
      </c>
      <c r="H566" s="17">
        <f>K566</f>
        <v>750000000000</v>
      </c>
      <c r="I566" s="30" t="s">
        <v>177</v>
      </c>
      <c r="J566" s="30" t="s">
        <v>177</v>
      </c>
      <c r="K566" s="17">
        <v>750000000000</v>
      </c>
    </row>
    <row r="567" spans="1:11" x14ac:dyDescent="0.3">
      <c r="A567" s="30">
        <v>12</v>
      </c>
      <c r="B567" s="15">
        <v>43096</v>
      </c>
      <c r="C567" s="17">
        <v>41308</v>
      </c>
      <c r="D567" s="17">
        <v>3220</v>
      </c>
      <c r="E567" s="30" t="s">
        <v>15</v>
      </c>
      <c r="F567" s="19" t="s">
        <v>14</v>
      </c>
      <c r="G567" s="30" t="s">
        <v>177</v>
      </c>
      <c r="H567" s="30" t="s">
        <v>177</v>
      </c>
      <c r="I567" s="30" t="s">
        <v>177</v>
      </c>
      <c r="J567" s="17">
        <f>K567</f>
        <v>11751347959</v>
      </c>
      <c r="K567" s="17">
        <v>11751347959</v>
      </c>
    </row>
    <row r="568" spans="1:11" x14ac:dyDescent="0.3">
      <c r="A568" s="30">
        <v>12</v>
      </c>
      <c r="B568" s="15">
        <v>43096</v>
      </c>
      <c r="C568" s="17">
        <v>41308</v>
      </c>
      <c r="D568" s="17">
        <v>3224</v>
      </c>
      <c r="E568" s="30" t="s">
        <v>15</v>
      </c>
      <c r="F568" s="19" t="s">
        <v>14</v>
      </c>
      <c r="G568" s="30" t="s">
        <v>177</v>
      </c>
      <c r="H568" s="30" t="s">
        <v>177</v>
      </c>
      <c r="I568" s="17">
        <v>2611898400</v>
      </c>
      <c r="J568" s="17">
        <f>K568-I568</f>
        <v>4500000</v>
      </c>
      <c r="K568" s="17">
        <v>2616398400</v>
      </c>
    </row>
    <row r="570" spans="1:11" ht="15" customHeight="1" x14ac:dyDescent="0.3">
      <c r="A570" s="124" t="s">
        <v>577</v>
      </c>
      <c r="B570" s="124"/>
      <c r="C570" s="124"/>
      <c r="D570" s="124"/>
      <c r="E570" s="124"/>
      <c r="F570" s="124"/>
      <c r="K570" s="81"/>
    </row>
    <row r="571" spans="1:11" ht="73.5" customHeight="1" x14ac:dyDescent="0.3">
      <c r="A571" s="124"/>
      <c r="B571" s="124"/>
      <c r="C571" s="124"/>
      <c r="D571" s="124"/>
      <c r="E571" s="124"/>
      <c r="F571" s="124"/>
      <c r="I571" s="82"/>
      <c r="J571" s="82"/>
    </row>
    <row r="572" spans="1:11" x14ac:dyDescent="0.3">
      <c r="A572" s="124"/>
      <c r="B572" s="124"/>
      <c r="C572" s="124"/>
      <c r="D572" s="124"/>
      <c r="E572" s="124"/>
      <c r="F572" s="124"/>
      <c r="I572" s="82"/>
      <c r="J572" s="79"/>
    </row>
    <row r="573" spans="1:11" x14ac:dyDescent="0.3">
      <c r="A573" s="124"/>
      <c r="B573" s="124"/>
      <c r="C573" s="124"/>
      <c r="D573" s="124"/>
      <c r="E573" s="124"/>
      <c r="F573" s="124"/>
    </row>
  </sheetData>
  <mergeCells count="196">
    <mergeCell ref="A2:G10"/>
    <mergeCell ref="F376:F377"/>
    <mergeCell ref="J320:J362"/>
    <mergeCell ref="I89:I99"/>
    <mergeCell ref="J541:J550"/>
    <mergeCell ref="K541:K550"/>
    <mergeCell ref="I527:I537"/>
    <mergeCell ref="K527:K537"/>
    <mergeCell ref="J527:J537"/>
    <mergeCell ref="F527:F537"/>
    <mergeCell ref="E527:E537"/>
    <mergeCell ref="D527:D537"/>
    <mergeCell ref="C527:C537"/>
    <mergeCell ref="K486:K525"/>
    <mergeCell ref="J486:J525"/>
    <mergeCell ref="E486:E525"/>
    <mergeCell ref="D486:D525"/>
    <mergeCell ref="C486:C525"/>
    <mergeCell ref="B486:B525"/>
    <mergeCell ref="A486:A525"/>
    <mergeCell ref="J440:J443"/>
    <mergeCell ref="K440:K443"/>
    <mergeCell ref="F440:F443"/>
    <mergeCell ref="E440:E443"/>
    <mergeCell ref="C440:C443"/>
    <mergeCell ref="B440:B443"/>
    <mergeCell ref="A440:A443"/>
    <mergeCell ref="I440:I443"/>
    <mergeCell ref="K384:K426"/>
    <mergeCell ref="J384:J426"/>
    <mergeCell ref="E384:E426"/>
    <mergeCell ref="D384:D426"/>
    <mergeCell ref="C384:C426"/>
    <mergeCell ref="B384:B426"/>
    <mergeCell ref="A384:A426"/>
    <mergeCell ref="J365:J375"/>
    <mergeCell ref="K365:K375"/>
    <mergeCell ref="J376:J377"/>
    <mergeCell ref="I376:I377"/>
    <mergeCell ref="K376:K377"/>
    <mergeCell ref="I380:I381"/>
    <mergeCell ref="J380:J381"/>
    <mergeCell ref="K380:K381"/>
    <mergeCell ref="K445:K485"/>
    <mergeCell ref="J445:J485"/>
    <mergeCell ref="I429:I439"/>
    <mergeCell ref="J429:J439"/>
    <mergeCell ref="K429:K439"/>
    <mergeCell ref="A185:A186"/>
    <mergeCell ref="K195:K237"/>
    <mergeCell ref="A195:A237"/>
    <mergeCell ref="B195:B237"/>
    <mergeCell ref="C195:C237"/>
    <mergeCell ref="D195:D237"/>
    <mergeCell ref="E195:E237"/>
    <mergeCell ref="F185:F186"/>
    <mergeCell ref="K185:K186"/>
    <mergeCell ref="D185:D186"/>
    <mergeCell ref="E185:E186"/>
    <mergeCell ref="C185:C186"/>
    <mergeCell ref="B185:B186"/>
    <mergeCell ref="J195:J237"/>
    <mergeCell ref="F130:F131"/>
    <mergeCell ref="A130:A131"/>
    <mergeCell ref="B130:B131"/>
    <mergeCell ref="C130:C131"/>
    <mergeCell ref="K135:K176"/>
    <mergeCell ref="D130:D131"/>
    <mergeCell ref="E130:E131"/>
    <mergeCell ref="A135:A176"/>
    <mergeCell ref="B135:B176"/>
    <mergeCell ref="C135:C176"/>
    <mergeCell ref="D135:D176"/>
    <mergeCell ref="E135:E176"/>
    <mergeCell ref="J135:J176"/>
    <mergeCell ref="K116:K126"/>
    <mergeCell ref="F116:F126"/>
    <mergeCell ref="E89:E99"/>
    <mergeCell ref="K89:K99"/>
    <mergeCell ref="A102:A113"/>
    <mergeCell ref="E102:E113"/>
    <mergeCell ref="I102:I113"/>
    <mergeCell ref="K102:K113"/>
    <mergeCell ref="J102:J113"/>
    <mergeCell ref="E116:E126"/>
    <mergeCell ref="A116:A126"/>
    <mergeCell ref="B116:B126"/>
    <mergeCell ref="C116:C126"/>
    <mergeCell ref="D116:D126"/>
    <mergeCell ref="F102:F113"/>
    <mergeCell ref="D102:D113"/>
    <mergeCell ref="C102:C113"/>
    <mergeCell ref="B102:B113"/>
    <mergeCell ref="F89:F99"/>
    <mergeCell ref="D89:D99"/>
    <mergeCell ref="J89:J99"/>
    <mergeCell ref="I116:I126"/>
    <mergeCell ref="J116:J126"/>
    <mergeCell ref="A31:A44"/>
    <mergeCell ref="B31:B44"/>
    <mergeCell ref="C31:C44"/>
    <mergeCell ref="D31:D44"/>
    <mergeCell ref="E31:E44"/>
    <mergeCell ref="A89:A99"/>
    <mergeCell ref="B89:B99"/>
    <mergeCell ref="C89:C99"/>
    <mergeCell ref="K31:K44"/>
    <mergeCell ref="A49:A81"/>
    <mergeCell ref="B49:B81"/>
    <mergeCell ref="C49:C81"/>
    <mergeCell ref="D49:D81"/>
    <mergeCell ref="E49:E81"/>
    <mergeCell ref="K49:K81"/>
    <mergeCell ref="J49:J81"/>
    <mergeCell ref="J270:J311"/>
    <mergeCell ref="D250:D251"/>
    <mergeCell ref="C250:C251"/>
    <mergeCell ref="B250:B251"/>
    <mergeCell ref="A250:A251"/>
    <mergeCell ref="J250:J251"/>
    <mergeCell ref="I250:I251"/>
    <mergeCell ref="F250:F251"/>
    <mergeCell ref="K250:K251"/>
    <mergeCell ref="E250:E251"/>
    <mergeCell ref="D440:D443"/>
    <mergeCell ref="F239:F249"/>
    <mergeCell ref="A239:A249"/>
    <mergeCell ref="B239:B249"/>
    <mergeCell ref="C239:C249"/>
    <mergeCell ref="D239:D249"/>
    <mergeCell ref="E239:E249"/>
    <mergeCell ref="K239:K249"/>
    <mergeCell ref="K320:K362"/>
    <mergeCell ref="E320:E362"/>
    <mergeCell ref="D320:D362"/>
    <mergeCell ref="C320:C362"/>
    <mergeCell ref="B320:B362"/>
    <mergeCell ref="A320:A362"/>
    <mergeCell ref="A254:A262"/>
    <mergeCell ref="I254:I262"/>
    <mergeCell ref="J254:J262"/>
    <mergeCell ref="K254:K262"/>
    <mergeCell ref="D270:D311"/>
    <mergeCell ref="E270:E311"/>
    <mergeCell ref="C270:C311"/>
    <mergeCell ref="B270:B311"/>
    <mergeCell ref="A270:A311"/>
    <mergeCell ref="K270:K311"/>
    <mergeCell ref="B527:B537"/>
    <mergeCell ref="A527:A537"/>
    <mergeCell ref="F254:F262"/>
    <mergeCell ref="E254:E262"/>
    <mergeCell ref="D254:D262"/>
    <mergeCell ref="C254:C262"/>
    <mergeCell ref="B254:B262"/>
    <mergeCell ref="I553:I561"/>
    <mergeCell ref="E553:E561"/>
    <mergeCell ref="D553:D561"/>
    <mergeCell ref="C553:C561"/>
    <mergeCell ref="B553:B561"/>
    <mergeCell ref="I365:I375"/>
    <mergeCell ref="E445:E485"/>
    <mergeCell ref="D445:D485"/>
    <mergeCell ref="C445:C485"/>
    <mergeCell ref="A445:A485"/>
    <mergeCell ref="B445:B485"/>
    <mergeCell ref="F429:F439"/>
    <mergeCell ref="E429:E439"/>
    <mergeCell ref="D429:D439"/>
    <mergeCell ref="C429:C439"/>
    <mergeCell ref="B429:B439"/>
    <mergeCell ref="A429:A439"/>
    <mergeCell ref="A1:G1"/>
    <mergeCell ref="A570:F573"/>
    <mergeCell ref="A553:A561"/>
    <mergeCell ref="F553:F561"/>
    <mergeCell ref="K553:K561"/>
    <mergeCell ref="J553:J561"/>
    <mergeCell ref="C365:C375"/>
    <mergeCell ref="D365:D375"/>
    <mergeCell ref="E365:E375"/>
    <mergeCell ref="F365:F375"/>
    <mergeCell ref="B365:B375"/>
    <mergeCell ref="A365:A375"/>
    <mergeCell ref="F541:F550"/>
    <mergeCell ref="E541:E550"/>
    <mergeCell ref="D541:D550"/>
    <mergeCell ref="C541:C550"/>
    <mergeCell ref="A541:A550"/>
    <mergeCell ref="B541:B550"/>
    <mergeCell ref="F380:F381"/>
    <mergeCell ref="E380:E381"/>
    <mergeCell ref="D380:D381"/>
    <mergeCell ref="C380:C381"/>
    <mergeCell ref="B380:B381"/>
    <mergeCell ref="A380:A381"/>
  </mergeCells>
  <dataValidations disablePrompts="1" count="1">
    <dataValidation type="list" allowBlank="1" showInputMessage="1" showErrorMessage="1" sqref="G11" xr:uid="{00000000-0002-0000-0000-000000000000}">
      <formula1>Descentralizados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85"/>
  <sheetViews>
    <sheetView workbookViewId="0">
      <pane ySplit="1" topLeftCell="A194" activePane="bottomLeft" state="frozen"/>
      <selection pane="bottomLeft" activeCell="A198" sqref="A198:A201"/>
    </sheetView>
  </sheetViews>
  <sheetFormatPr defaultColWidth="11.5546875" defaultRowHeight="14.4" x14ac:dyDescent="0.3"/>
  <cols>
    <col min="1" max="1" width="27.88671875" customWidth="1"/>
    <col min="2" max="2" width="34.6640625" style="46" customWidth="1"/>
    <col min="3" max="3" width="27.109375" bestFit="1" customWidth="1"/>
    <col min="4" max="4" width="14.5546875" bestFit="1" customWidth="1"/>
    <col min="5" max="9" width="15.5546875" bestFit="1" customWidth="1"/>
    <col min="10" max="10" width="16.44140625" bestFit="1" customWidth="1"/>
    <col min="11" max="12" width="17.33203125" bestFit="1" customWidth="1"/>
  </cols>
  <sheetData>
    <row r="1" spans="1:12" s="4" customFormat="1" x14ac:dyDescent="0.3">
      <c r="A1" s="47" t="s">
        <v>217</v>
      </c>
      <c r="B1" s="48" t="s">
        <v>218</v>
      </c>
      <c r="C1" s="47" t="s">
        <v>233</v>
      </c>
      <c r="D1" s="49">
        <v>6294</v>
      </c>
      <c r="E1" s="49">
        <v>6299</v>
      </c>
      <c r="F1" s="49">
        <v>6305</v>
      </c>
      <c r="G1" s="49">
        <v>6315</v>
      </c>
      <c r="H1" s="49">
        <v>6328</v>
      </c>
      <c r="I1" s="49">
        <v>6331</v>
      </c>
      <c r="J1" s="49">
        <v>6336</v>
      </c>
      <c r="K1" s="49">
        <v>6340</v>
      </c>
      <c r="L1" s="49">
        <v>6349</v>
      </c>
    </row>
    <row r="2" spans="1:12" s="4" customFormat="1" ht="27.6" x14ac:dyDescent="0.3">
      <c r="A2" s="162" t="s">
        <v>14</v>
      </c>
      <c r="B2" s="22" t="s">
        <v>219</v>
      </c>
      <c r="C2" s="37">
        <f>SUM(D2:L2)</f>
        <v>350000000</v>
      </c>
      <c r="D2" s="1" t="s">
        <v>177</v>
      </c>
      <c r="E2" s="1" t="s">
        <v>177</v>
      </c>
      <c r="F2" s="1" t="s">
        <v>177</v>
      </c>
      <c r="G2" s="1">
        <v>350000000</v>
      </c>
      <c r="H2" s="1" t="s">
        <v>177</v>
      </c>
      <c r="I2" s="1" t="s">
        <v>177</v>
      </c>
      <c r="J2" s="1" t="s">
        <v>177</v>
      </c>
      <c r="K2" s="1" t="s">
        <v>177</v>
      </c>
      <c r="L2" s="1" t="s">
        <v>177</v>
      </c>
    </row>
    <row r="3" spans="1:12" s="4" customFormat="1" ht="27.6" x14ac:dyDescent="0.3">
      <c r="A3" s="163"/>
      <c r="B3" s="22" t="s">
        <v>220</v>
      </c>
      <c r="C3" s="37">
        <f>SUM(D3:L3)</f>
        <v>260000000</v>
      </c>
      <c r="D3" s="1" t="s">
        <v>177</v>
      </c>
      <c r="E3" s="1" t="s">
        <v>177</v>
      </c>
      <c r="F3" s="1" t="s">
        <v>177</v>
      </c>
      <c r="G3" s="5">
        <v>260000000</v>
      </c>
      <c r="H3" s="1" t="s">
        <v>177</v>
      </c>
      <c r="I3" s="1" t="s">
        <v>177</v>
      </c>
      <c r="J3" s="1" t="s">
        <v>177</v>
      </c>
      <c r="K3" s="1" t="s">
        <v>177</v>
      </c>
      <c r="L3" s="1" t="s">
        <v>177</v>
      </c>
    </row>
    <row r="4" spans="1:12" s="4" customFormat="1" x14ac:dyDescent="0.3">
      <c r="A4" s="163"/>
      <c r="B4" s="22" t="s">
        <v>70</v>
      </c>
      <c r="C4" s="37">
        <f>SUM(D4:L4)</f>
        <v>145000000</v>
      </c>
      <c r="D4" s="1" t="s">
        <v>177</v>
      </c>
      <c r="E4" s="1" t="s">
        <v>177</v>
      </c>
      <c r="F4" s="1" t="s">
        <v>177</v>
      </c>
      <c r="G4" s="1">
        <v>145000000</v>
      </c>
      <c r="H4" s="1" t="s">
        <v>177</v>
      </c>
      <c r="I4" s="1" t="s">
        <v>177</v>
      </c>
      <c r="J4" s="1" t="s">
        <v>177</v>
      </c>
      <c r="K4" s="1" t="s">
        <v>177</v>
      </c>
      <c r="L4" s="1" t="s">
        <v>177</v>
      </c>
    </row>
    <row r="5" spans="1:12" s="4" customFormat="1" ht="41.4" x14ac:dyDescent="0.3">
      <c r="A5" s="163"/>
      <c r="B5" s="22" t="s">
        <v>95</v>
      </c>
      <c r="C5" s="37">
        <f t="shared" ref="C5:C58" si="0">SUM(D5:L5)</f>
        <v>315000000</v>
      </c>
      <c r="D5" s="1" t="s">
        <v>177</v>
      </c>
      <c r="E5" s="1" t="s">
        <v>177</v>
      </c>
      <c r="F5" s="1" t="s">
        <v>177</v>
      </c>
      <c r="G5" s="1">
        <v>315000000</v>
      </c>
      <c r="H5" s="1" t="s">
        <v>177</v>
      </c>
      <c r="I5" s="1" t="s">
        <v>177</v>
      </c>
      <c r="J5" s="1" t="s">
        <v>177</v>
      </c>
      <c r="K5" s="1" t="s">
        <v>177</v>
      </c>
      <c r="L5" s="1" t="s">
        <v>177</v>
      </c>
    </row>
    <row r="6" spans="1:12" s="4" customFormat="1" x14ac:dyDescent="0.3">
      <c r="A6" s="163"/>
      <c r="B6" s="22" t="s">
        <v>66</v>
      </c>
      <c r="C6" s="37">
        <f t="shared" si="0"/>
        <v>413670500</v>
      </c>
      <c r="D6" s="1" t="s">
        <v>177</v>
      </c>
      <c r="E6" s="1" t="s">
        <v>177</v>
      </c>
      <c r="F6" s="1" t="s">
        <v>177</v>
      </c>
      <c r="G6" s="1">
        <f>350000000+63670500</f>
        <v>413670500</v>
      </c>
      <c r="H6" s="1" t="s">
        <v>177</v>
      </c>
      <c r="I6" s="1" t="s">
        <v>177</v>
      </c>
      <c r="J6" s="1" t="s">
        <v>177</v>
      </c>
      <c r="K6" s="1" t="s">
        <v>177</v>
      </c>
      <c r="L6" s="1" t="s">
        <v>177</v>
      </c>
    </row>
    <row r="7" spans="1:12" s="4" customFormat="1" x14ac:dyDescent="0.3">
      <c r="A7" s="163"/>
      <c r="B7" s="22" t="s">
        <v>179</v>
      </c>
      <c r="C7" s="37">
        <f t="shared" si="0"/>
        <v>15000000</v>
      </c>
      <c r="D7" s="1" t="s">
        <v>177</v>
      </c>
      <c r="E7" s="1" t="s">
        <v>177</v>
      </c>
      <c r="F7" s="1" t="s">
        <v>177</v>
      </c>
      <c r="G7" s="1">
        <v>15000000</v>
      </c>
      <c r="H7" s="1" t="s">
        <v>177</v>
      </c>
      <c r="I7" s="1" t="s">
        <v>177</v>
      </c>
      <c r="J7" s="1" t="s">
        <v>177</v>
      </c>
      <c r="K7" s="1" t="s">
        <v>177</v>
      </c>
      <c r="L7" s="1" t="s">
        <v>177</v>
      </c>
    </row>
    <row r="8" spans="1:12" s="4" customFormat="1" ht="27.6" x14ac:dyDescent="0.3">
      <c r="A8" s="163"/>
      <c r="B8" s="22" t="s">
        <v>65</v>
      </c>
      <c r="C8" s="37">
        <f t="shared" si="0"/>
        <v>205000000</v>
      </c>
      <c r="D8" s="1" t="s">
        <v>177</v>
      </c>
      <c r="E8" s="1" t="s">
        <v>177</v>
      </c>
      <c r="F8" s="1" t="s">
        <v>177</v>
      </c>
      <c r="G8" s="1">
        <v>205000000</v>
      </c>
      <c r="H8" s="1" t="s">
        <v>177</v>
      </c>
      <c r="I8" s="1" t="s">
        <v>177</v>
      </c>
      <c r="J8" s="1" t="s">
        <v>177</v>
      </c>
      <c r="K8" s="1" t="s">
        <v>177</v>
      </c>
      <c r="L8" s="1" t="s">
        <v>177</v>
      </c>
    </row>
    <row r="9" spans="1:12" s="4" customFormat="1" ht="27.6" x14ac:dyDescent="0.3">
      <c r="A9" s="163"/>
      <c r="B9" s="22" t="s">
        <v>62</v>
      </c>
      <c r="C9" s="37">
        <f t="shared" si="0"/>
        <v>3210476190</v>
      </c>
      <c r="D9" s="1" t="s">
        <v>177</v>
      </c>
      <c r="E9" s="1" t="s">
        <v>177</v>
      </c>
      <c r="F9" s="1" t="s">
        <v>177</v>
      </c>
      <c r="G9" s="1">
        <v>3210476190</v>
      </c>
      <c r="H9" s="1" t="s">
        <v>177</v>
      </c>
      <c r="I9" s="1" t="s">
        <v>177</v>
      </c>
      <c r="J9" s="1" t="s">
        <v>177</v>
      </c>
      <c r="K9" s="1" t="s">
        <v>177</v>
      </c>
      <c r="L9" s="1" t="s">
        <v>177</v>
      </c>
    </row>
    <row r="10" spans="1:12" s="4" customFormat="1" x14ac:dyDescent="0.3">
      <c r="A10" s="163"/>
      <c r="B10" s="38" t="s">
        <v>63</v>
      </c>
      <c r="C10" s="37">
        <f t="shared" si="0"/>
        <v>20000000</v>
      </c>
      <c r="D10" s="1" t="s">
        <v>177</v>
      </c>
      <c r="E10" s="1" t="s">
        <v>177</v>
      </c>
      <c r="F10" s="1" t="s">
        <v>177</v>
      </c>
      <c r="G10" s="1">
        <v>20000000</v>
      </c>
      <c r="H10" s="1" t="s">
        <v>177</v>
      </c>
      <c r="I10" s="1" t="s">
        <v>177</v>
      </c>
      <c r="J10" s="1" t="s">
        <v>177</v>
      </c>
      <c r="K10" s="1" t="s">
        <v>177</v>
      </c>
      <c r="L10" s="1" t="s">
        <v>177</v>
      </c>
    </row>
    <row r="11" spans="1:12" s="4" customFormat="1" ht="27.6" x14ac:dyDescent="0.3">
      <c r="A11" s="163"/>
      <c r="B11" s="38" t="s">
        <v>64</v>
      </c>
      <c r="C11" s="37">
        <f t="shared" si="0"/>
        <v>945000000</v>
      </c>
      <c r="D11" s="1" t="s">
        <v>177</v>
      </c>
      <c r="E11" s="1" t="s">
        <v>177</v>
      </c>
      <c r="F11" s="1" t="s">
        <v>177</v>
      </c>
      <c r="G11" s="1">
        <v>945000000</v>
      </c>
      <c r="H11" s="1" t="s">
        <v>177</v>
      </c>
      <c r="I11" s="1" t="s">
        <v>177</v>
      </c>
      <c r="J11" s="1" t="s">
        <v>177</v>
      </c>
      <c r="K11" s="1" t="s">
        <v>177</v>
      </c>
      <c r="L11" s="1" t="s">
        <v>177</v>
      </c>
    </row>
    <row r="12" spans="1:12" s="4" customFormat="1" ht="41.4" x14ac:dyDescent="0.3">
      <c r="A12" s="164"/>
      <c r="B12" s="38" t="s">
        <v>71</v>
      </c>
      <c r="C12" s="37">
        <f t="shared" si="0"/>
        <v>3300000000</v>
      </c>
      <c r="D12" s="1" t="s">
        <v>177</v>
      </c>
      <c r="E12" s="1" t="s">
        <v>177</v>
      </c>
      <c r="F12" s="1" t="s">
        <v>177</v>
      </c>
      <c r="G12" s="1">
        <v>3300000000</v>
      </c>
      <c r="H12" s="1" t="s">
        <v>177</v>
      </c>
      <c r="I12" s="1" t="s">
        <v>177</v>
      </c>
      <c r="J12" s="1" t="s">
        <v>177</v>
      </c>
      <c r="K12" s="1" t="s">
        <v>177</v>
      </c>
      <c r="L12" s="1" t="s">
        <v>177</v>
      </c>
    </row>
    <row r="13" spans="1:12" s="4" customFormat="1" ht="26.25" customHeight="1" x14ac:dyDescent="0.3">
      <c r="A13" s="159" t="s">
        <v>18</v>
      </c>
      <c r="B13" s="20" t="s">
        <v>112</v>
      </c>
      <c r="C13" s="37">
        <f t="shared" si="0"/>
        <v>2372761</v>
      </c>
      <c r="D13" s="1" t="s">
        <v>177</v>
      </c>
      <c r="E13" s="1" t="s">
        <v>177</v>
      </c>
      <c r="F13" s="1" t="s">
        <v>177</v>
      </c>
      <c r="G13" s="1">
        <v>2372761</v>
      </c>
      <c r="H13" s="1" t="s">
        <v>177</v>
      </c>
      <c r="I13" s="1" t="s">
        <v>177</v>
      </c>
      <c r="J13" s="1" t="s">
        <v>177</v>
      </c>
      <c r="K13" s="1" t="s">
        <v>177</v>
      </c>
      <c r="L13" s="1" t="s">
        <v>177</v>
      </c>
    </row>
    <row r="14" spans="1:12" s="4" customFormat="1" ht="27.6" x14ac:dyDescent="0.3">
      <c r="A14" s="160"/>
      <c r="B14" s="20" t="s">
        <v>162</v>
      </c>
      <c r="C14" s="37">
        <f>SUM(D14:L14)</f>
        <v>0</v>
      </c>
      <c r="D14" s="1" t="s">
        <v>177</v>
      </c>
      <c r="E14" s="1" t="s">
        <v>177</v>
      </c>
      <c r="F14" s="1" t="s">
        <v>177</v>
      </c>
      <c r="G14" s="1" t="s">
        <v>177</v>
      </c>
      <c r="H14" s="1" t="s">
        <v>177</v>
      </c>
      <c r="I14" s="1" t="s">
        <v>177</v>
      </c>
      <c r="J14" s="1" t="s">
        <v>177</v>
      </c>
      <c r="K14" s="1" t="s">
        <v>177</v>
      </c>
      <c r="L14" s="1" t="s">
        <v>177</v>
      </c>
    </row>
    <row r="15" spans="1:12" s="4" customFormat="1" ht="27.6" x14ac:dyDescent="0.3">
      <c r="A15" s="160"/>
      <c r="B15" s="20" t="s">
        <v>19</v>
      </c>
      <c r="C15" s="37">
        <f t="shared" si="0"/>
        <v>0</v>
      </c>
      <c r="D15" s="1" t="s">
        <v>177</v>
      </c>
      <c r="E15" s="1" t="s">
        <v>177</v>
      </c>
      <c r="F15" s="1" t="s">
        <v>177</v>
      </c>
      <c r="G15" s="1" t="s">
        <v>177</v>
      </c>
      <c r="H15" s="1" t="s">
        <v>177</v>
      </c>
      <c r="I15" s="1" t="s">
        <v>177</v>
      </c>
      <c r="J15" s="1" t="s">
        <v>177</v>
      </c>
      <c r="K15" s="1" t="s">
        <v>177</v>
      </c>
      <c r="L15" s="1" t="s">
        <v>177</v>
      </c>
    </row>
    <row r="16" spans="1:12" s="4" customFormat="1" x14ac:dyDescent="0.3">
      <c r="A16" s="160"/>
      <c r="B16" s="38" t="s">
        <v>221</v>
      </c>
      <c r="C16" s="37">
        <f t="shared" si="0"/>
        <v>0</v>
      </c>
      <c r="D16" s="1" t="s">
        <v>177</v>
      </c>
      <c r="E16" s="1" t="s">
        <v>177</v>
      </c>
      <c r="F16" s="1" t="s">
        <v>177</v>
      </c>
      <c r="G16" s="1" t="s">
        <v>177</v>
      </c>
      <c r="H16" s="1" t="s">
        <v>177</v>
      </c>
      <c r="I16" s="1" t="s">
        <v>177</v>
      </c>
      <c r="J16" s="1" t="s">
        <v>177</v>
      </c>
      <c r="K16" s="1" t="s">
        <v>177</v>
      </c>
      <c r="L16" s="1" t="s">
        <v>177</v>
      </c>
    </row>
    <row r="17" spans="1:12" s="4" customFormat="1" ht="27.6" x14ac:dyDescent="0.3">
      <c r="A17" s="159" t="s">
        <v>225</v>
      </c>
      <c r="B17" s="22" t="s">
        <v>222</v>
      </c>
      <c r="C17" s="37">
        <f t="shared" si="0"/>
        <v>0</v>
      </c>
      <c r="D17" s="1" t="s">
        <v>177</v>
      </c>
      <c r="E17" s="1" t="s">
        <v>177</v>
      </c>
      <c r="F17" s="1" t="s">
        <v>177</v>
      </c>
      <c r="G17" s="1" t="s">
        <v>177</v>
      </c>
      <c r="H17" s="1" t="s">
        <v>177</v>
      </c>
      <c r="I17" s="1" t="s">
        <v>177</v>
      </c>
      <c r="J17" s="1" t="s">
        <v>177</v>
      </c>
      <c r="K17" s="1" t="s">
        <v>177</v>
      </c>
      <c r="L17" s="1" t="s">
        <v>177</v>
      </c>
    </row>
    <row r="18" spans="1:12" s="4" customFormat="1" ht="27.6" x14ac:dyDescent="0.3">
      <c r="A18" s="160"/>
      <c r="B18" s="22" t="s">
        <v>223</v>
      </c>
      <c r="C18" s="37">
        <f t="shared" si="0"/>
        <v>0</v>
      </c>
      <c r="D18" s="1" t="s">
        <v>177</v>
      </c>
      <c r="E18" s="1" t="s">
        <v>177</v>
      </c>
      <c r="F18" s="1" t="s">
        <v>177</v>
      </c>
      <c r="G18" s="1" t="s">
        <v>177</v>
      </c>
      <c r="H18" s="1" t="s">
        <v>177</v>
      </c>
      <c r="I18" s="1" t="s">
        <v>177</v>
      </c>
      <c r="J18" s="1" t="s">
        <v>177</v>
      </c>
      <c r="K18" s="1" t="s">
        <v>177</v>
      </c>
      <c r="L18" s="1" t="s">
        <v>177</v>
      </c>
    </row>
    <row r="19" spans="1:12" s="4" customFormat="1" x14ac:dyDescent="0.3">
      <c r="A19" s="160"/>
      <c r="B19" s="22" t="s">
        <v>180</v>
      </c>
      <c r="C19" s="37">
        <f t="shared" si="0"/>
        <v>0</v>
      </c>
      <c r="D19" s="1" t="s">
        <v>177</v>
      </c>
      <c r="E19" s="1" t="s">
        <v>177</v>
      </c>
      <c r="F19" s="1" t="s">
        <v>177</v>
      </c>
      <c r="G19" s="1" t="s">
        <v>177</v>
      </c>
      <c r="H19" s="1" t="s">
        <v>177</v>
      </c>
      <c r="I19" s="1" t="s">
        <v>177</v>
      </c>
      <c r="J19" s="1" t="s">
        <v>177</v>
      </c>
      <c r="K19" s="1" t="s">
        <v>177</v>
      </c>
      <c r="L19" s="1" t="s">
        <v>177</v>
      </c>
    </row>
    <row r="20" spans="1:12" s="4" customFormat="1" ht="27.6" x14ac:dyDescent="0.3">
      <c r="A20" s="161"/>
      <c r="B20" s="22" t="s">
        <v>224</v>
      </c>
      <c r="C20" s="37">
        <f t="shared" si="0"/>
        <v>0</v>
      </c>
      <c r="D20" s="1" t="s">
        <v>177</v>
      </c>
      <c r="E20" s="1" t="s">
        <v>177</v>
      </c>
      <c r="F20" s="1" t="s">
        <v>177</v>
      </c>
      <c r="G20" s="1" t="s">
        <v>177</v>
      </c>
      <c r="H20" s="1" t="s">
        <v>177</v>
      </c>
      <c r="I20" s="1" t="s">
        <v>177</v>
      </c>
      <c r="J20" s="1" t="s">
        <v>177</v>
      </c>
      <c r="K20" s="1" t="s">
        <v>177</v>
      </c>
      <c r="L20" s="1" t="s">
        <v>177</v>
      </c>
    </row>
    <row r="21" spans="1:12" s="4" customFormat="1" ht="41.4" x14ac:dyDescent="0.3">
      <c r="A21" s="159" t="s">
        <v>36</v>
      </c>
      <c r="B21" s="22" t="s">
        <v>226</v>
      </c>
      <c r="C21" s="37">
        <f t="shared" si="0"/>
        <v>162786505</v>
      </c>
      <c r="D21" s="1" t="s">
        <v>177</v>
      </c>
      <c r="E21" s="1" t="s">
        <v>177</v>
      </c>
      <c r="F21" s="1" t="s">
        <v>177</v>
      </c>
      <c r="G21" s="1" t="s">
        <v>177</v>
      </c>
      <c r="H21" s="1">
        <f>2333270+3394355</f>
        <v>5727625</v>
      </c>
      <c r="I21" s="1">
        <f>38076301+30446645</f>
        <v>68522946</v>
      </c>
      <c r="J21" s="33">
        <f>27395270+13797680</f>
        <v>41192950</v>
      </c>
      <c r="K21" s="1">
        <f>30643482+16699502</f>
        <v>47342984</v>
      </c>
      <c r="L21" s="1" t="s">
        <v>177</v>
      </c>
    </row>
    <row r="22" spans="1:12" s="4" customFormat="1" ht="41.4" x14ac:dyDescent="0.3">
      <c r="A22" s="160"/>
      <c r="B22" s="22" t="s">
        <v>227</v>
      </c>
      <c r="C22" s="37">
        <f t="shared" si="0"/>
        <v>968148896</v>
      </c>
      <c r="D22" s="1" t="s">
        <v>177</v>
      </c>
      <c r="E22" s="1" t="s">
        <v>177</v>
      </c>
      <c r="F22" s="1" t="s">
        <v>177</v>
      </c>
      <c r="G22" s="1" t="s">
        <v>177</v>
      </c>
      <c r="H22" s="1">
        <f>19174971</f>
        <v>19174971</v>
      </c>
      <c r="I22" s="1">
        <f>29536471+212714192</f>
        <v>242250663</v>
      </c>
      <c r="J22" s="33">
        <f>10498934+210198121</f>
        <v>220697055</v>
      </c>
      <c r="K22" s="1">
        <f>60852594+210198121</f>
        <v>271050715</v>
      </c>
      <c r="L22" s="1">
        <f>4777371+210198121</f>
        <v>214975492</v>
      </c>
    </row>
    <row r="23" spans="1:12" s="4" customFormat="1" ht="27.6" x14ac:dyDescent="0.3">
      <c r="A23" s="159" t="s">
        <v>24</v>
      </c>
      <c r="B23" s="22" t="s">
        <v>228</v>
      </c>
      <c r="C23" s="37">
        <f t="shared" si="0"/>
        <v>1002280853</v>
      </c>
      <c r="D23" s="1" t="s">
        <v>177</v>
      </c>
      <c r="E23" s="1">
        <v>78095208</v>
      </c>
      <c r="F23" s="1">
        <v>138828257</v>
      </c>
      <c r="G23" s="1">
        <v>56345001</v>
      </c>
      <c r="H23" s="1">
        <f>91369684</f>
        <v>91369684</v>
      </c>
      <c r="I23" s="1">
        <f>87177254</f>
        <v>87177254</v>
      </c>
      <c r="J23" s="33">
        <f>221830400</f>
        <v>221830400</v>
      </c>
      <c r="K23" s="1">
        <f>328635049</f>
        <v>328635049</v>
      </c>
      <c r="L23" s="1" t="s">
        <v>177</v>
      </c>
    </row>
    <row r="24" spans="1:12" s="4" customFormat="1" ht="27.6" x14ac:dyDescent="0.3">
      <c r="A24" s="160"/>
      <c r="B24" s="22" t="s">
        <v>232</v>
      </c>
      <c r="C24" s="37">
        <f t="shared" si="0"/>
        <v>4980138183</v>
      </c>
      <c r="D24" s="1">
        <v>3305138183</v>
      </c>
      <c r="E24" s="1">
        <v>175000000</v>
      </c>
      <c r="F24" s="1" t="s">
        <v>177</v>
      </c>
      <c r="G24" s="1">
        <f>1500000000</f>
        <v>1500000000</v>
      </c>
      <c r="H24" s="1" t="s">
        <v>177</v>
      </c>
      <c r="I24" s="1" t="s">
        <v>177</v>
      </c>
      <c r="J24" s="1" t="s">
        <v>177</v>
      </c>
      <c r="K24" s="1" t="s">
        <v>177</v>
      </c>
      <c r="L24" s="1" t="s">
        <v>177</v>
      </c>
    </row>
    <row r="25" spans="1:12" s="4" customFormat="1" ht="27.6" x14ac:dyDescent="0.3">
      <c r="A25" s="160"/>
      <c r="B25" s="22" t="s">
        <v>230</v>
      </c>
      <c r="C25" s="37">
        <f t="shared" si="0"/>
        <v>1086111601227</v>
      </c>
      <c r="D25" s="1">
        <v>5000000000</v>
      </c>
      <c r="E25" s="1">
        <f>78220411+18109685404</f>
        <v>18187905815</v>
      </c>
      <c r="F25" s="1">
        <f>433496825+53691424238</f>
        <v>54124921063</v>
      </c>
      <c r="G25" s="1">
        <f>2550016494+64896551458+278213332+64618338126</f>
        <v>132343119410</v>
      </c>
      <c r="H25" s="1">
        <f>650548211+72004706458</f>
        <v>72655254669</v>
      </c>
      <c r="I25" s="1">
        <f>10278590495+145908416381</f>
        <v>156187006876</v>
      </c>
      <c r="J25" s="33">
        <f>982857973+200665522382</f>
        <v>201648380355</v>
      </c>
      <c r="K25" s="1">
        <f>15824253542+363921268520+7841140977</f>
        <v>387586663039</v>
      </c>
      <c r="L25" s="1">
        <f>32500000000+25878350000</f>
        <v>58378350000</v>
      </c>
    </row>
    <row r="26" spans="1:12" s="4" customFormat="1" ht="55.2" x14ac:dyDescent="0.3">
      <c r="A26" s="160"/>
      <c r="B26" s="22" t="s">
        <v>236</v>
      </c>
      <c r="C26" s="37">
        <f t="shared" si="0"/>
        <v>158235955231</v>
      </c>
      <c r="D26" s="1">
        <v>650000000</v>
      </c>
      <c r="E26" s="1">
        <v>2031595386</v>
      </c>
      <c r="F26" s="1">
        <v>2056665010</v>
      </c>
      <c r="G26" s="1">
        <f>3101093750</f>
        <v>3101093750</v>
      </c>
      <c r="H26" s="1">
        <f>5139460798</f>
        <v>5139460798</v>
      </c>
      <c r="I26" s="1">
        <f>9131426189</f>
        <v>9131426189</v>
      </c>
      <c r="J26" s="33">
        <f>25738654201</f>
        <v>25738654201</v>
      </c>
      <c r="K26" s="1">
        <f>45387059897</f>
        <v>45387059897</v>
      </c>
      <c r="L26" s="1">
        <v>65000000000</v>
      </c>
    </row>
    <row r="27" spans="1:12" s="4" customFormat="1" x14ac:dyDescent="0.3">
      <c r="A27" s="160"/>
      <c r="B27" s="22" t="s">
        <v>237</v>
      </c>
      <c r="C27" s="37">
        <f t="shared" si="0"/>
        <v>293423898</v>
      </c>
      <c r="D27" s="1" t="s">
        <v>177</v>
      </c>
      <c r="E27" s="1">
        <v>11274144</v>
      </c>
      <c r="F27" s="1">
        <v>2448590</v>
      </c>
      <c r="G27" s="1">
        <f>2507206</f>
        <v>2507206</v>
      </c>
      <c r="H27" s="1">
        <f>5362968</f>
        <v>5362968</v>
      </c>
      <c r="I27" s="1">
        <v>6499986</v>
      </c>
      <c r="J27" s="33">
        <f>29957296</f>
        <v>29957296</v>
      </c>
      <c r="K27" s="1">
        <v>235373708</v>
      </c>
      <c r="L27" s="1" t="s">
        <v>177</v>
      </c>
    </row>
    <row r="28" spans="1:12" s="4" customFormat="1" ht="27.6" x14ac:dyDescent="0.3">
      <c r="A28" s="160"/>
      <c r="B28" s="22" t="s">
        <v>229</v>
      </c>
      <c r="C28" s="37">
        <f t="shared" si="0"/>
        <v>14275988476</v>
      </c>
      <c r="D28" s="1" t="s">
        <v>177</v>
      </c>
      <c r="E28" s="1">
        <f>131634850+361594159</f>
        <v>493229009</v>
      </c>
      <c r="F28" s="1">
        <v>841002122</v>
      </c>
      <c r="G28" s="1">
        <f>818909350+150000000</f>
        <v>968909350</v>
      </c>
      <c r="H28" s="1">
        <f>1111532977</f>
        <v>1111532977</v>
      </c>
      <c r="I28" s="1">
        <f>1537020260</f>
        <v>1537020260</v>
      </c>
      <c r="J28" s="33">
        <f>1576039714+100000000</f>
        <v>1676039714</v>
      </c>
      <c r="K28" s="1">
        <v>7648255044</v>
      </c>
      <c r="L28" s="1" t="s">
        <v>177</v>
      </c>
    </row>
    <row r="29" spans="1:12" s="4" customFormat="1" ht="41.4" x14ac:dyDescent="0.3">
      <c r="A29" s="160"/>
      <c r="B29" s="22" t="s">
        <v>238</v>
      </c>
      <c r="C29" s="37">
        <f t="shared" si="0"/>
        <v>700000000</v>
      </c>
      <c r="D29" s="1">
        <v>200000000</v>
      </c>
      <c r="E29" s="1" t="s">
        <v>177</v>
      </c>
      <c r="F29" s="1">
        <v>200000000</v>
      </c>
      <c r="G29" s="1" t="s">
        <v>177</v>
      </c>
      <c r="H29" s="1" t="s">
        <v>177</v>
      </c>
      <c r="I29" s="1" t="s">
        <v>177</v>
      </c>
      <c r="J29" s="1" t="s">
        <v>177</v>
      </c>
      <c r="K29" s="1" t="s">
        <v>177</v>
      </c>
      <c r="L29" s="1">
        <v>300000000</v>
      </c>
    </row>
    <row r="30" spans="1:12" s="4" customFormat="1" x14ac:dyDescent="0.3">
      <c r="A30" s="160"/>
      <c r="B30" s="86" t="s">
        <v>181</v>
      </c>
      <c r="C30" s="37">
        <f t="shared" si="0"/>
        <v>350643605942</v>
      </c>
      <c r="D30" s="1">
        <v>2624633202</v>
      </c>
      <c r="E30" s="1">
        <v>11784733137</v>
      </c>
      <c r="F30" s="1">
        <v>18615000000</v>
      </c>
      <c r="G30" s="1">
        <f>10259840354</f>
        <v>10259840354</v>
      </c>
      <c r="H30" s="1">
        <f>10697575200</f>
        <v>10697575200</v>
      </c>
      <c r="I30" s="1">
        <f>64381575181</f>
        <v>64381575181</v>
      </c>
      <c r="J30" s="33">
        <f>54251541280</f>
        <v>54251541280</v>
      </c>
      <c r="K30" s="1">
        <f>77645994621</f>
        <v>77645994621</v>
      </c>
      <c r="L30" s="1">
        <v>100382712967</v>
      </c>
    </row>
    <row r="31" spans="1:12" s="4" customFormat="1" ht="27.6" x14ac:dyDescent="0.3">
      <c r="A31" s="160"/>
      <c r="B31" s="22" t="s">
        <v>231</v>
      </c>
      <c r="C31" s="37">
        <f t="shared" si="0"/>
        <v>10341363986</v>
      </c>
      <c r="D31" s="1">
        <v>175000000</v>
      </c>
      <c r="E31" s="1">
        <v>353231481</v>
      </c>
      <c r="F31" s="1">
        <v>885839199</v>
      </c>
      <c r="G31" s="1">
        <f>769937099</f>
        <v>769937099</v>
      </c>
      <c r="H31" s="1">
        <f>1130414150</f>
        <v>1130414150</v>
      </c>
      <c r="I31" s="1">
        <f>1074900757</f>
        <v>1074900757</v>
      </c>
      <c r="J31" s="33">
        <f>1986340712</f>
        <v>1986340712</v>
      </c>
      <c r="K31" s="1">
        <v>3965700588</v>
      </c>
      <c r="L31" s="1" t="s">
        <v>177</v>
      </c>
    </row>
    <row r="32" spans="1:12" s="4" customFormat="1" ht="55.2" x14ac:dyDescent="0.3">
      <c r="A32" s="160"/>
      <c r="B32" s="22" t="s">
        <v>239</v>
      </c>
      <c r="C32" s="37">
        <f t="shared" si="0"/>
        <v>102105000000</v>
      </c>
      <c r="D32" s="1">
        <v>500000000</v>
      </c>
      <c r="E32" s="1">
        <v>200000000</v>
      </c>
      <c r="F32" s="1">
        <v>700000000</v>
      </c>
      <c r="G32" s="1">
        <f>375000000</f>
        <v>375000000</v>
      </c>
      <c r="H32" s="1">
        <f>600000000</f>
        <v>600000000</v>
      </c>
      <c r="I32" s="1">
        <f>2150000000</f>
        <v>2150000000</v>
      </c>
      <c r="J32" s="1" t="s">
        <v>177</v>
      </c>
      <c r="K32" s="1">
        <v>35310000000</v>
      </c>
      <c r="L32" s="1">
        <v>62270000000</v>
      </c>
    </row>
    <row r="33" spans="1:12" s="4" customFormat="1" ht="27.6" x14ac:dyDescent="0.3">
      <c r="A33" s="160"/>
      <c r="B33" s="22" t="s">
        <v>240</v>
      </c>
      <c r="C33" s="37">
        <f t="shared" si="0"/>
        <v>4500000000</v>
      </c>
      <c r="D33" s="1">
        <v>1500000000</v>
      </c>
      <c r="E33" s="1" t="s">
        <v>177</v>
      </c>
      <c r="F33" s="1" t="s">
        <v>177</v>
      </c>
      <c r="G33" s="1" t="s">
        <v>177</v>
      </c>
      <c r="H33" s="1" t="s">
        <v>177</v>
      </c>
      <c r="I33" s="1" t="s">
        <v>177</v>
      </c>
      <c r="J33" s="1" t="s">
        <v>177</v>
      </c>
      <c r="K33" s="1" t="s">
        <v>177</v>
      </c>
      <c r="L33" s="1">
        <v>3000000000</v>
      </c>
    </row>
    <row r="34" spans="1:12" s="4" customFormat="1" ht="41.4" x14ac:dyDescent="0.3">
      <c r="A34" s="160"/>
      <c r="B34" s="22" t="s">
        <v>241</v>
      </c>
      <c r="C34" s="37">
        <f t="shared" si="0"/>
        <v>9315574400</v>
      </c>
      <c r="D34" s="1" t="s">
        <v>177</v>
      </c>
      <c r="E34" s="1">
        <v>2300000000</v>
      </c>
      <c r="F34" s="1">
        <v>50000000</v>
      </c>
      <c r="G34" s="1" t="s">
        <v>177</v>
      </c>
      <c r="H34" s="1" t="s">
        <v>177</v>
      </c>
      <c r="I34" s="1">
        <f>1600000000</f>
        <v>1600000000</v>
      </c>
      <c r="J34" s="33">
        <f>2000000000</f>
        <v>2000000000</v>
      </c>
      <c r="K34" s="1">
        <v>365574400</v>
      </c>
      <c r="L34" s="1">
        <v>3000000000</v>
      </c>
    </row>
    <row r="35" spans="1:12" s="4" customFormat="1" ht="27.6" x14ac:dyDescent="0.3">
      <c r="A35" s="160"/>
      <c r="B35" s="22" t="s">
        <v>242</v>
      </c>
      <c r="C35" s="37">
        <f>SUM(D35:L35)</f>
        <v>80000000</v>
      </c>
      <c r="D35" s="1" t="s">
        <v>177</v>
      </c>
      <c r="E35" s="1" t="s">
        <v>177</v>
      </c>
      <c r="F35" s="1" t="s">
        <v>177</v>
      </c>
      <c r="G35" s="1" t="s">
        <v>177</v>
      </c>
      <c r="H35" s="1" t="s">
        <v>177</v>
      </c>
      <c r="I35" s="1" t="s">
        <v>177</v>
      </c>
      <c r="J35" s="1" t="s">
        <v>177</v>
      </c>
      <c r="K35" s="1">
        <v>80000000</v>
      </c>
      <c r="L35" s="1"/>
    </row>
    <row r="36" spans="1:12" s="4" customFormat="1" ht="27.6" x14ac:dyDescent="0.3">
      <c r="A36" s="161"/>
      <c r="B36" s="38" t="s">
        <v>243</v>
      </c>
      <c r="C36" s="37">
        <f t="shared" si="0"/>
        <v>47715655671</v>
      </c>
      <c r="D36" s="1">
        <v>6149762888</v>
      </c>
      <c r="E36" s="1">
        <v>2550733137</v>
      </c>
      <c r="F36" s="1" t="s">
        <v>177</v>
      </c>
      <c r="G36" s="1">
        <f>6015159646</f>
        <v>6015159646</v>
      </c>
      <c r="H36" s="1">
        <f>7000000000</f>
        <v>7000000000</v>
      </c>
      <c r="I36" s="1">
        <f>7000000000</f>
        <v>7000000000</v>
      </c>
      <c r="J36" s="33">
        <f>18000000000</f>
        <v>18000000000</v>
      </c>
      <c r="K36" s="1" t="s">
        <v>177</v>
      </c>
      <c r="L36" s="1">
        <v>1000000000</v>
      </c>
    </row>
    <row r="37" spans="1:12" s="4" customFormat="1" ht="41.4" x14ac:dyDescent="0.3">
      <c r="A37" s="159" t="s">
        <v>25</v>
      </c>
      <c r="B37" s="22" t="s">
        <v>528</v>
      </c>
      <c r="C37" s="37">
        <f t="shared" si="0"/>
        <v>197255394221</v>
      </c>
      <c r="D37" s="1" t="s">
        <v>177</v>
      </c>
      <c r="E37" s="1" t="s">
        <v>177</v>
      </c>
      <c r="F37" s="1" t="s">
        <v>177</v>
      </c>
      <c r="G37" s="1">
        <f>8726699960</f>
        <v>8726699960</v>
      </c>
      <c r="H37" s="1">
        <f>8371571006</f>
        <v>8371571006</v>
      </c>
      <c r="I37" s="1">
        <f>13177069431</f>
        <v>13177069431</v>
      </c>
      <c r="J37" s="33">
        <f>23167602499</f>
        <v>23167602499</v>
      </c>
      <c r="K37" s="1">
        <f>55302926594</f>
        <v>55302926594</v>
      </c>
      <c r="L37" s="1">
        <f>88509524731</f>
        <v>88509524731</v>
      </c>
    </row>
    <row r="38" spans="1:12" s="4" customFormat="1" ht="27.6" x14ac:dyDescent="0.3">
      <c r="A38" s="160"/>
      <c r="B38" s="22" t="s">
        <v>529</v>
      </c>
      <c r="C38" s="37">
        <f t="shared" si="0"/>
        <v>108736172276</v>
      </c>
      <c r="D38" s="1" t="s">
        <v>177</v>
      </c>
      <c r="E38" s="1" t="s">
        <v>177</v>
      </c>
      <c r="F38" s="1" t="s">
        <v>177</v>
      </c>
      <c r="G38" s="1">
        <f>1469051851</f>
        <v>1469051851</v>
      </c>
      <c r="H38" s="1">
        <f>10989587456</f>
        <v>10989587456</v>
      </c>
      <c r="I38" s="1">
        <f>9186808958</f>
        <v>9186808958</v>
      </c>
      <c r="J38" s="33">
        <f>17962484623</f>
        <v>17962484623</v>
      </c>
      <c r="K38" s="1">
        <f>499979872+35573171554</f>
        <v>36073151426</v>
      </c>
      <c r="L38" s="1">
        <f>33055087962</f>
        <v>33055087962</v>
      </c>
    </row>
    <row r="39" spans="1:12" s="4" customFormat="1" ht="27.6" x14ac:dyDescent="0.3">
      <c r="A39" s="160"/>
      <c r="B39" s="22" t="s">
        <v>244</v>
      </c>
      <c r="C39" s="37">
        <f t="shared" si="0"/>
        <v>61888560</v>
      </c>
      <c r="D39" s="1" t="s">
        <v>177</v>
      </c>
      <c r="E39" s="1">
        <v>447120</v>
      </c>
      <c r="F39" s="1" t="s">
        <v>177</v>
      </c>
      <c r="G39" s="1">
        <f>8799487</f>
        <v>8799487</v>
      </c>
      <c r="H39" s="1">
        <f>7122966</f>
        <v>7122966</v>
      </c>
      <c r="I39" s="1">
        <f>4587878</f>
        <v>4587878</v>
      </c>
      <c r="J39" s="33">
        <f>11267850</f>
        <v>11267850</v>
      </c>
      <c r="K39" s="1">
        <f>19403496</f>
        <v>19403496</v>
      </c>
      <c r="L39" s="1">
        <f>10259763</f>
        <v>10259763</v>
      </c>
    </row>
    <row r="40" spans="1:12" s="4" customFormat="1" ht="27.6" x14ac:dyDescent="0.3">
      <c r="A40" s="160"/>
      <c r="B40" s="22" t="s">
        <v>245</v>
      </c>
      <c r="C40" s="37">
        <f t="shared" si="0"/>
        <v>45238101</v>
      </c>
      <c r="D40" s="1" t="s">
        <v>177</v>
      </c>
      <c r="E40" s="1">
        <v>4095</v>
      </c>
      <c r="F40" s="1" t="s">
        <v>177</v>
      </c>
      <c r="G40" s="1">
        <f>4341562</f>
        <v>4341562</v>
      </c>
      <c r="H40" s="1">
        <f>4377704</f>
        <v>4377704</v>
      </c>
      <c r="I40" s="1">
        <f>3658865</f>
        <v>3658865</v>
      </c>
      <c r="J40" s="33">
        <f>7142440</f>
        <v>7142440</v>
      </c>
      <c r="K40" s="1">
        <v>16608969</v>
      </c>
      <c r="L40" s="1">
        <f>9104466</f>
        <v>9104466</v>
      </c>
    </row>
    <row r="41" spans="1:12" s="4" customFormat="1" x14ac:dyDescent="0.3">
      <c r="A41" s="160"/>
      <c r="B41" s="22" t="s">
        <v>246</v>
      </c>
      <c r="C41" s="37">
        <f t="shared" si="0"/>
        <v>63843962</v>
      </c>
      <c r="D41" s="1" t="s">
        <v>177</v>
      </c>
      <c r="E41" s="1" t="s">
        <v>177</v>
      </c>
      <c r="F41" s="1" t="s">
        <v>177</v>
      </c>
      <c r="G41" s="1">
        <f>6251615</f>
        <v>6251615</v>
      </c>
      <c r="H41" s="1">
        <f>7248594</f>
        <v>7248594</v>
      </c>
      <c r="I41" s="1">
        <f>5531513</f>
        <v>5531513</v>
      </c>
      <c r="J41" s="33">
        <f>10499664</f>
        <v>10499664</v>
      </c>
      <c r="K41" s="1">
        <f>22402641</f>
        <v>22402641</v>
      </c>
      <c r="L41" s="1">
        <f>11909935</f>
        <v>11909935</v>
      </c>
    </row>
    <row r="42" spans="1:12" s="4" customFormat="1" x14ac:dyDescent="0.3">
      <c r="A42" s="160"/>
      <c r="B42" s="22" t="s">
        <v>182</v>
      </c>
      <c r="C42" s="37">
        <f t="shared" si="0"/>
        <v>112882950</v>
      </c>
      <c r="D42" s="1" t="s">
        <v>177</v>
      </c>
      <c r="E42" s="1" t="s">
        <v>177</v>
      </c>
      <c r="F42" s="1" t="s">
        <v>177</v>
      </c>
      <c r="G42" s="1">
        <f>15408364</f>
        <v>15408364</v>
      </c>
      <c r="H42" s="1">
        <f>6356555</f>
        <v>6356555</v>
      </c>
      <c r="I42" s="1">
        <f>14583792</f>
        <v>14583792</v>
      </c>
      <c r="J42" s="33">
        <f>19352281</f>
        <v>19352281</v>
      </c>
      <c r="K42" s="1">
        <f>36523348</f>
        <v>36523348</v>
      </c>
      <c r="L42" s="1">
        <f>20658610</f>
        <v>20658610</v>
      </c>
    </row>
    <row r="43" spans="1:12" s="4" customFormat="1" x14ac:dyDescent="0.3">
      <c r="A43" s="160"/>
      <c r="B43" s="22" t="s">
        <v>183</v>
      </c>
      <c r="C43" s="37">
        <f t="shared" si="0"/>
        <v>48054461</v>
      </c>
      <c r="D43" s="1" t="s">
        <v>177</v>
      </c>
      <c r="E43" s="1">
        <v>347760</v>
      </c>
      <c r="F43" s="1" t="s">
        <v>177</v>
      </c>
      <c r="G43" s="1">
        <f>5257752</f>
        <v>5257752</v>
      </c>
      <c r="H43" s="1">
        <f>2738442</f>
        <v>2738442</v>
      </c>
      <c r="I43" s="1">
        <f>5074320</f>
        <v>5074320</v>
      </c>
      <c r="J43" s="33">
        <f>8742266</f>
        <v>8742266</v>
      </c>
      <c r="K43" s="1">
        <f>17226139</f>
        <v>17226139</v>
      </c>
      <c r="L43" s="1">
        <f>8667782</f>
        <v>8667782</v>
      </c>
    </row>
    <row r="44" spans="1:12" s="4" customFormat="1" x14ac:dyDescent="0.3">
      <c r="A44" s="160"/>
      <c r="B44" s="22" t="s">
        <v>184</v>
      </c>
      <c r="C44" s="37">
        <f t="shared" si="0"/>
        <v>76024929</v>
      </c>
      <c r="D44" s="1" t="s">
        <v>177</v>
      </c>
      <c r="E44" s="1" t="s">
        <v>177</v>
      </c>
      <c r="F44" s="1" t="s">
        <v>177</v>
      </c>
      <c r="G44" s="1">
        <f>8976504</f>
        <v>8976504</v>
      </c>
      <c r="H44" s="1">
        <f>4832719</f>
        <v>4832719</v>
      </c>
      <c r="I44" s="1">
        <f>11146097</f>
        <v>11146097</v>
      </c>
      <c r="J44" s="33">
        <f>13236623</f>
        <v>13236623</v>
      </c>
      <c r="K44" s="1">
        <f>24471868</f>
        <v>24471868</v>
      </c>
      <c r="L44" s="1">
        <f>13361118</f>
        <v>13361118</v>
      </c>
    </row>
    <row r="45" spans="1:12" s="4" customFormat="1" ht="27.6" x14ac:dyDescent="0.3">
      <c r="A45" s="160"/>
      <c r="B45" s="22" t="s">
        <v>247</v>
      </c>
      <c r="C45" s="37">
        <f t="shared" si="0"/>
        <v>355918893775</v>
      </c>
      <c r="D45" s="1" t="s">
        <v>177</v>
      </c>
      <c r="E45" s="1" t="s">
        <v>177</v>
      </c>
      <c r="F45" s="1" t="s">
        <v>177</v>
      </c>
      <c r="G45" s="1" t="s">
        <v>177</v>
      </c>
      <c r="H45" s="1">
        <f>1296168118</f>
        <v>1296168118</v>
      </c>
      <c r="I45" s="1">
        <f>1919419510</f>
        <v>1919419510</v>
      </c>
      <c r="J45" s="33">
        <f>2531511954</f>
        <v>2531511954</v>
      </c>
      <c r="K45" s="1">
        <v>10026240188</v>
      </c>
      <c r="L45" s="1">
        <f>19221067145+320924486860</f>
        <v>340145554005</v>
      </c>
    </row>
    <row r="46" spans="1:12" s="4" customFormat="1" ht="41.4" x14ac:dyDescent="0.3">
      <c r="A46" s="160"/>
      <c r="B46" s="22" t="s">
        <v>530</v>
      </c>
      <c r="C46" s="37">
        <f t="shared" si="0"/>
        <v>788269231</v>
      </c>
      <c r="D46" s="1" t="s">
        <v>177</v>
      </c>
      <c r="E46" s="1" t="s">
        <v>177</v>
      </c>
      <c r="F46" s="1" t="s">
        <v>177</v>
      </c>
      <c r="G46" s="1" t="s">
        <v>177</v>
      </c>
      <c r="H46" s="1" t="s">
        <v>177</v>
      </c>
      <c r="I46" s="1">
        <f>76148962</f>
        <v>76148962</v>
      </c>
      <c r="J46" s="33">
        <f>201120237</f>
        <v>201120237</v>
      </c>
      <c r="K46" s="1">
        <f>265375959</f>
        <v>265375959</v>
      </c>
      <c r="L46" s="1">
        <f>245624073</f>
        <v>245624073</v>
      </c>
    </row>
    <row r="47" spans="1:12" s="4" customFormat="1" ht="27.6" x14ac:dyDescent="0.3">
      <c r="A47" s="160"/>
      <c r="B47" s="22" t="s">
        <v>531</v>
      </c>
      <c r="C47" s="37">
        <f t="shared" si="0"/>
        <v>714303179</v>
      </c>
      <c r="D47" s="1" t="s">
        <v>177</v>
      </c>
      <c r="E47" s="1" t="s">
        <v>177</v>
      </c>
      <c r="F47" s="1" t="s">
        <v>177</v>
      </c>
      <c r="G47" s="1" t="s">
        <v>177</v>
      </c>
      <c r="H47" s="1">
        <f>21760442</f>
        <v>21760442</v>
      </c>
      <c r="I47" s="1">
        <f>94009960</f>
        <v>94009960</v>
      </c>
      <c r="J47" s="33">
        <f>179346717</f>
        <v>179346717</v>
      </c>
      <c r="K47" s="1">
        <f>334361242</f>
        <v>334361242</v>
      </c>
      <c r="L47" s="1">
        <f>84824818</f>
        <v>84824818</v>
      </c>
    </row>
    <row r="48" spans="1:12" s="4" customFormat="1" ht="27.6" x14ac:dyDescent="0.3">
      <c r="A48" s="160"/>
      <c r="B48" s="22" t="s">
        <v>532</v>
      </c>
      <c r="C48" s="37">
        <f t="shared" si="0"/>
        <v>25533941463</v>
      </c>
      <c r="D48" s="1" t="s">
        <v>177</v>
      </c>
      <c r="E48" s="1" t="s">
        <v>177</v>
      </c>
      <c r="F48" s="1" t="s">
        <v>177</v>
      </c>
      <c r="G48" s="1">
        <f>5311892805</f>
        <v>5311892805</v>
      </c>
      <c r="H48" s="1">
        <f>977216057</f>
        <v>977216057</v>
      </c>
      <c r="I48" s="1">
        <f>1360900753</f>
        <v>1360900753</v>
      </c>
      <c r="J48" s="33">
        <f>3081094512</f>
        <v>3081094512</v>
      </c>
      <c r="K48" s="1">
        <f>6266035648</f>
        <v>6266035648</v>
      </c>
      <c r="L48" s="1">
        <f>8536801688</f>
        <v>8536801688</v>
      </c>
    </row>
    <row r="49" spans="1:12" s="4" customFormat="1" x14ac:dyDescent="0.3">
      <c r="A49" s="160"/>
      <c r="B49" s="86" t="s">
        <v>590</v>
      </c>
      <c r="C49" s="37">
        <f t="shared" si="0"/>
        <v>26338336828</v>
      </c>
      <c r="D49" s="1" t="s">
        <v>177</v>
      </c>
      <c r="E49" s="1" t="s">
        <v>177</v>
      </c>
      <c r="F49" s="1">
        <v>892589924</v>
      </c>
      <c r="G49" s="1">
        <f>2438275000</f>
        <v>2438275000</v>
      </c>
      <c r="H49" s="1">
        <f>1270672881</f>
        <v>1270672881</v>
      </c>
      <c r="I49" s="1">
        <f>181766467+2481728163</f>
        <v>2663494630</v>
      </c>
      <c r="J49" s="33">
        <f>411757933+2481728163</f>
        <v>2893486096</v>
      </c>
      <c r="K49" s="1">
        <f>535483405+13791633146</f>
        <v>14327116551</v>
      </c>
      <c r="L49" s="1">
        <f>129756144+1722945602</f>
        <v>1852701746</v>
      </c>
    </row>
    <row r="50" spans="1:12" s="4" customFormat="1" x14ac:dyDescent="0.3">
      <c r="A50" s="160"/>
      <c r="B50" s="22" t="s">
        <v>185</v>
      </c>
      <c r="C50" s="37">
        <f t="shared" si="0"/>
        <v>3429890662</v>
      </c>
      <c r="D50" s="1" t="s">
        <v>177</v>
      </c>
      <c r="E50" s="1" t="s">
        <v>177</v>
      </c>
      <c r="F50" s="1"/>
      <c r="G50" s="1"/>
      <c r="H50" s="1"/>
      <c r="I50" s="1">
        <f>566312848</f>
        <v>566312848</v>
      </c>
      <c r="J50" s="33">
        <f>635165067</f>
        <v>635165067</v>
      </c>
      <c r="K50" s="1">
        <f>1276162261</f>
        <v>1276162261</v>
      </c>
      <c r="L50" s="1">
        <f>952250486</f>
        <v>952250486</v>
      </c>
    </row>
    <row r="51" spans="1:12" s="4" customFormat="1" ht="27.6" x14ac:dyDescent="0.3">
      <c r="A51" s="160"/>
      <c r="B51" s="22" t="s">
        <v>248</v>
      </c>
      <c r="C51" s="37">
        <f t="shared" si="0"/>
        <v>26470352</v>
      </c>
      <c r="D51" s="1" t="s">
        <v>177</v>
      </c>
      <c r="E51" s="1">
        <v>248400</v>
      </c>
      <c r="F51" s="1"/>
      <c r="G51" s="1">
        <f>2944862</f>
        <v>2944862</v>
      </c>
      <c r="H51" s="1">
        <f>2016702</f>
        <v>2016702</v>
      </c>
      <c r="I51" s="1">
        <f>5332009</f>
        <v>5332009</v>
      </c>
      <c r="J51" s="33">
        <f>6268543</f>
        <v>6268543</v>
      </c>
      <c r="K51" s="1"/>
      <c r="L51" s="1">
        <f>9659836</f>
        <v>9659836</v>
      </c>
    </row>
    <row r="52" spans="1:12" s="4" customFormat="1" x14ac:dyDescent="0.3">
      <c r="A52" s="160"/>
      <c r="B52" s="22" t="s">
        <v>186</v>
      </c>
      <c r="C52" s="37">
        <f t="shared" si="0"/>
        <v>338624973968</v>
      </c>
      <c r="D52" s="1" t="s">
        <v>177</v>
      </c>
      <c r="E52" s="1" t="s">
        <v>177</v>
      </c>
      <c r="F52" s="1">
        <v>14711365033</v>
      </c>
      <c r="G52" s="1">
        <f>49142077217</f>
        <v>49142077217</v>
      </c>
      <c r="H52" s="1">
        <f>20025817378</f>
        <v>20025817378</v>
      </c>
      <c r="I52" s="1">
        <f>32294541838</f>
        <v>32294541838</v>
      </c>
      <c r="J52" s="33">
        <f>94126716886</f>
        <v>94126716886</v>
      </c>
      <c r="K52" s="1">
        <f>70315446305</f>
        <v>70315446305</v>
      </c>
      <c r="L52" s="1">
        <v>58009009311</v>
      </c>
    </row>
    <row r="53" spans="1:12" s="4" customFormat="1" ht="27.6" x14ac:dyDescent="0.3">
      <c r="A53" s="160"/>
      <c r="B53" s="22" t="s">
        <v>533</v>
      </c>
      <c r="C53" s="37">
        <f t="shared" si="0"/>
        <v>3000000000</v>
      </c>
      <c r="D53" s="1" t="s">
        <v>177</v>
      </c>
      <c r="E53" s="1" t="s">
        <v>177</v>
      </c>
      <c r="F53" s="1" t="s">
        <v>177</v>
      </c>
      <c r="G53" s="1" t="s">
        <v>177</v>
      </c>
      <c r="H53" s="1" t="s">
        <v>177</v>
      </c>
      <c r="I53" s="1" t="s">
        <v>177</v>
      </c>
      <c r="J53" s="1" t="s">
        <v>177</v>
      </c>
      <c r="K53" s="1">
        <v>1000000000</v>
      </c>
      <c r="L53" s="1">
        <v>2000000000</v>
      </c>
    </row>
    <row r="54" spans="1:12" s="4" customFormat="1" ht="41.4" x14ac:dyDescent="0.3">
      <c r="A54" s="160"/>
      <c r="B54" s="22" t="s">
        <v>534</v>
      </c>
      <c r="C54" s="37">
        <f t="shared" si="0"/>
        <v>351610427</v>
      </c>
      <c r="D54" s="1" t="s">
        <v>177</v>
      </c>
      <c r="E54" s="1">
        <v>3153843</v>
      </c>
      <c r="F54" s="1">
        <v>13850525</v>
      </c>
      <c r="G54" s="1">
        <f>32261889</f>
        <v>32261889</v>
      </c>
      <c r="H54" s="1">
        <f>19950878</f>
        <v>19950878</v>
      </c>
      <c r="I54" s="1">
        <f>28639602</f>
        <v>28639602</v>
      </c>
      <c r="J54" s="33">
        <f>73640711</f>
        <v>73640711</v>
      </c>
      <c r="K54" s="1">
        <f>121473378</f>
        <v>121473378</v>
      </c>
      <c r="L54" s="1">
        <v>58639601</v>
      </c>
    </row>
    <row r="55" spans="1:12" s="4" customFormat="1" ht="27.6" x14ac:dyDescent="0.3">
      <c r="A55" s="160"/>
      <c r="B55" s="22" t="s">
        <v>249</v>
      </c>
      <c r="C55" s="37">
        <f t="shared" si="0"/>
        <v>4900542110</v>
      </c>
      <c r="D55" s="1" t="s">
        <v>177</v>
      </c>
      <c r="E55" s="1" t="s">
        <v>177</v>
      </c>
      <c r="F55" s="1" t="s">
        <v>177</v>
      </c>
      <c r="G55" s="1">
        <f>532172412</f>
        <v>532172412</v>
      </c>
      <c r="H55" s="1">
        <f>443310036</f>
        <v>443310036</v>
      </c>
      <c r="I55" s="1">
        <f>592527566</f>
        <v>592527566</v>
      </c>
      <c r="J55" s="33">
        <f>1490819646</f>
        <v>1490819646</v>
      </c>
      <c r="K55" s="1">
        <f>1523119787</f>
        <v>1523119787</v>
      </c>
      <c r="L55" s="1">
        <v>318592663</v>
      </c>
    </row>
    <row r="56" spans="1:12" s="4" customFormat="1" x14ac:dyDescent="0.3">
      <c r="A56" s="160"/>
      <c r="B56" s="22" t="s">
        <v>250</v>
      </c>
      <c r="C56" s="37">
        <f t="shared" si="0"/>
        <v>1175239188</v>
      </c>
      <c r="D56" s="1" t="s">
        <v>177</v>
      </c>
      <c r="E56" s="1" t="s">
        <v>177</v>
      </c>
      <c r="F56" s="1" t="s">
        <v>177</v>
      </c>
      <c r="G56" s="1">
        <f>129038309</f>
        <v>129038309</v>
      </c>
      <c r="H56" s="1"/>
      <c r="I56" s="1">
        <f>179243265</f>
        <v>179243265</v>
      </c>
      <c r="J56" s="33">
        <f>179243265</f>
        <v>179243265</v>
      </c>
      <c r="K56" s="1">
        <v>497366218</v>
      </c>
      <c r="L56" s="1">
        <v>190348131</v>
      </c>
    </row>
    <row r="57" spans="1:12" s="4" customFormat="1" x14ac:dyDescent="0.3">
      <c r="A57" s="160"/>
      <c r="B57" s="22" t="s">
        <v>187</v>
      </c>
      <c r="C57" s="37">
        <f t="shared" si="0"/>
        <v>35695389</v>
      </c>
      <c r="D57" s="1" t="s">
        <v>177</v>
      </c>
      <c r="E57" s="1" t="s">
        <v>177</v>
      </c>
      <c r="F57" s="1">
        <v>1928698</v>
      </c>
      <c r="G57" s="1">
        <f>2648944</f>
        <v>2648944</v>
      </c>
      <c r="H57" s="1">
        <f>2389480</f>
        <v>2389480</v>
      </c>
      <c r="I57" s="1">
        <f>3243318</f>
        <v>3243318</v>
      </c>
      <c r="J57" s="33">
        <f>3345272</f>
        <v>3345272</v>
      </c>
      <c r="K57" s="1">
        <v>22139677</v>
      </c>
      <c r="L57" s="1"/>
    </row>
    <row r="58" spans="1:12" s="4" customFormat="1" x14ac:dyDescent="0.3">
      <c r="A58" s="160"/>
      <c r="B58" s="22" t="s">
        <v>251</v>
      </c>
      <c r="C58" s="37">
        <f t="shared" si="0"/>
        <v>561889516</v>
      </c>
      <c r="D58" s="1" t="s">
        <v>177</v>
      </c>
      <c r="E58" s="1" t="s">
        <v>177</v>
      </c>
      <c r="F58" s="1">
        <v>25670374</v>
      </c>
      <c r="G58" s="1">
        <f>60330845</f>
        <v>60330845</v>
      </c>
      <c r="H58" s="1">
        <f>60330844</f>
        <v>60330844</v>
      </c>
      <c r="I58" s="1">
        <f>87589740</f>
        <v>87589740</v>
      </c>
      <c r="J58" s="33">
        <f>87589741</f>
        <v>87589741</v>
      </c>
      <c r="K58" s="1">
        <v>171119067</v>
      </c>
      <c r="L58" s="1">
        <v>69258905</v>
      </c>
    </row>
    <row r="59" spans="1:12" s="4" customFormat="1" ht="27.6" x14ac:dyDescent="0.3">
      <c r="A59" s="160"/>
      <c r="B59" s="22" t="s">
        <v>535</v>
      </c>
      <c r="C59" s="37">
        <f t="shared" ref="C59:C112" si="1">SUM(D59:L59)</f>
        <v>637997995</v>
      </c>
      <c r="D59" s="1" t="s">
        <v>177</v>
      </c>
      <c r="E59" s="1">
        <v>11575267</v>
      </c>
      <c r="F59" s="1">
        <v>34772598</v>
      </c>
      <c r="G59" s="1">
        <f>49915639</f>
        <v>49915639</v>
      </c>
      <c r="H59" s="1">
        <f>47915640</f>
        <v>47915640</v>
      </c>
      <c r="I59" s="1">
        <f>67275901</f>
        <v>67275901</v>
      </c>
      <c r="J59" s="33">
        <f>133419049</f>
        <v>133419049</v>
      </c>
      <c r="K59" s="1">
        <f>183142389</f>
        <v>183142389</v>
      </c>
      <c r="L59" s="1">
        <f>109981512</f>
        <v>109981512</v>
      </c>
    </row>
    <row r="60" spans="1:12" s="4" customFormat="1" ht="27.6" x14ac:dyDescent="0.3">
      <c r="A60" s="160"/>
      <c r="B60" s="38" t="s">
        <v>252</v>
      </c>
      <c r="C60" s="37">
        <f t="shared" si="1"/>
        <v>450187020111</v>
      </c>
      <c r="D60" s="1" t="s">
        <v>177</v>
      </c>
      <c r="E60" s="1">
        <v>5000000000</v>
      </c>
      <c r="F60" s="1">
        <f>11029965608+5000000000</f>
        <v>16029965608</v>
      </c>
      <c r="G60" s="1">
        <f>68438511059+5084868524</f>
        <v>73523379583</v>
      </c>
      <c r="H60" s="1">
        <f>22980375240+5041451449</f>
        <v>28021826689</v>
      </c>
      <c r="I60" s="1">
        <f>30298767479+5041451450</f>
        <v>35340218929</v>
      </c>
      <c r="J60" s="33">
        <f>87550273815+5041451450</f>
        <v>92591725265</v>
      </c>
      <c r="K60" s="1">
        <f>130418894716+5041451450</f>
        <v>135460346166</v>
      </c>
      <c r="L60" s="1">
        <f>59178106421+5041451450</f>
        <v>64219557871</v>
      </c>
    </row>
    <row r="61" spans="1:12" s="4" customFormat="1" ht="27.6" x14ac:dyDescent="0.3">
      <c r="A61" s="161"/>
      <c r="B61" s="22" t="s">
        <v>536</v>
      </c>
      <c r="C61" s="37">
        <f t="shared" si="1"/>
        <v>98511891041</v>
      </c>
      <c r="D61" s="1" t="s">
        <v>177</v>
      </c>
      <c r="E61" s="1">
        <v>2814335148</v>
      </c>
      <c r="F61" s="1">
        <v>3920531891</v>
      </c>
      <c r="G61" s="1" t="s">
        <v>177</v>
      </c>
      <c r="H61" s="1" t="s">
        <v>177</v>
      </c>
      <c r="I61" s="1">
        <f>6396338030</f>
        <v>6396338030</v>
      </c>
      <c r="J61" s="33">
        <v>28930053160</v>
      </c>
      <c r="K61" s="1">
        <f>18171318552</f>
        <v>18171318552</v>
      </c>
      <c r="L61" s="1">
        <f>38279314260</f>
        <v>38279314260</v>
      </c>
    </row>
    <row r="62" spans="1:12" s="4" customFormat="1" ht="41.4" x14ac:dyDescent="0.3">
      <c r="A62" s="159" t="s">
        <v>163</v>
      </c>
      <c r="B62" s="22" t="s">
        <v>253</v>
      </c>
      <c r="C62" s="37">
        <f t="shared" si="1"/>
        <v>5149036552</v>
      </c>
      <c r="D62" s="1" t="s">
        <v>177</v>
      </c>
      <c r="E62" s="1">
        <f>327062926+100951275</f>
        <v>428014201</v>
      </c>
      <c r="F62" s="1">
        <f>190082606+66008221</f>
        <v>256090827</v>
      </c>
      <c r="G62" s="1">
        <f>250598692+78297958</f>
        <v>328896650</v>
      </c>
      <c r="H62" s="1">
        <f>208323057+87539554</f>
        <v>295862611</v>
      </c>
      <c r="I62" s="1">
        <f>423967079+112397250</f>
        <v>536364329</v>
      </c>
      <c r="J62" s="33">
        <f>1133165709+272499086</f>
        <v>1405664795</v>
      </c>
      <c r="K62" s="1">
        <f>938905231+169138004</f>
        <v>1108043235</v>
      </c>
      <c r="L62" s="1">
        <f>674140502+115959402</f>
        <v>790099904</v>
      </c>
    </row>
    <row r="63" spans="1:12" s="4" customFormat="1" ht="27.6" x14ac:dyDescent="0.3">
      <c r="A63" s="160"/>
      <c r="B63" s="22" t="s">
        <v>254</v>
      </c>
      <c r="C63" s="37">
        <f t="shared" si="1"/>
        <v>6936371198943</v>
      </c>
      <c r="D63" s="1" t="s">
        <v>177</v>
      </c>
      <c r="E63" s="1">
        <f>1073214210+69805801079</f>
        <v>70879015289</v>
      </c>
      <c r="F63" s="1">
        <f>1670154294+389084436455</f>
        <v>390754590749</v>
      </c>
      <c r="G63" s="1">
        <f>4759881279+546464027617</f>
        <v>551223908896</v>
      </c>
      <c r="H63" s="1">
        <f>417328223496</f>
        <v>417328223496</v>
      </c>
      <c r="I63" s="1">
        <f>9701530782+488615129467</f>
        <v>498316660249</v>
      </c>
      <c r="J63" s="33">
        <f>33497131893+2022108569473</f>
        <v>2055605701366</v>
      </c>
      <c r="K63" s="1">
        <f>28628688129+1443535972599</f>
        <v>1472164660728</v>
      </c>
      <c r="L63" s="1">
        <f>35163787306+1444934650864</f>
        <v>1480098438170</v>
      </c>
    </row>
    <row r="64" spans="1:12" s="4" customFormat="1" ht="41.4" x14ac:dyDescent="0.3">
      <c r="A64" s="160"/>
      <c r="B64" s="22" t="s">
        <v>255</v>
      </c>
      <c r="C64" s="37">
        <f t="shared" si="1"/>
        <v>12266676642</v>
      </c>
      <c r="D64" s="1" t="s">
        <v>177</v>
      </c>
      <c r="E64" s="1">
        <f>148409659+127189220</f>
        <v>275598879</v>
      </c>
      <c r="F64" s="1">
        <f>813720198+272935965</f>
        <v>1086656163</v>
      </c>
      <c r="G64" s="1">
        <f>672809673+159786811</f>
        <v>832596484</v>
      </c>
      <c r="H64" s="1">
        <f>724265488+246408019</f>
        <v>970673507</v>
      </c>
      <c r="I64" s="1">
        <f>1106788270+529284004</f>
        <v>1636072274</v>
      </c>
      <c r="J64" s="33">
        <f>1621594536+952144471</f>
        <v>2573739007</v>
      </c>
      <c r="K64" s="1">
        <f>1966465212+954244540</f>
        <v>2920709752</v>
      </c>
      <c r="L64" s="1">
        <f>1233636878+736993698</f>
        <v>1970630576</v>
      </c>
    </row>
    <row r="65" spans="1:12" s="4" customFormat="1" x14ac:dyDescent="0.3">
      <c r="A65" s="160"/>
      <c r="B65" s="22" t="s">
        <v>188</v>
      </c>
      <c r="C65" s="37">
        <f t="shared" si="1"/>
        <v>993077959</v>
      </c>
      <c r="D65" s="1" t="s">
        <v>177</v>
      </c>
      <c r="E65" s="1" t="s">
        <v>177</v>
      </c>
      <c r="F65" s="1" t="s">
        <v>177</v>
      </c>
      <c r="G65" s="1" t="s">
        <v>177</v>
      </c>
      <c r="H65" s="1">
        <f>946625941</f>
        <v>946625941</v>
      </c>
      <c r="I65" s="1" t="s">
        <v>177</v>
      </c>
      <c r="J65" s="1" t="s">
        <v>177</v>
      </c>
      <c r="K65" s="1" t="s">
        <v>177</v>
      </c>
      <c r="L65" s="1">
        <f>46452018</f>
        <v>46452018</v>
      </c>
    </row>
    <row r="66" spans="1:12" s="4" customFormat="1" ht="27.6" x14ac:dyDescent="0.3">
      <c r="A66" s="159" t="s">
        <v>40</v>
      </c>
      <c r="B66" s="22" t="s">
        <v>256</v>
      </c>
      <c r="C66" s="37">
        <f t="shared" si="1"/>
        <v>468721484</v>
      </c>
      <c r="D66" s="1" t="s">
        <v>177</v>
      </c>
      <c r="E66" s="1" t="s">
        <v>177</v>
      </c>
      <c r="F66" s="1" t="s">
        <v>177</v>
      </c>
      <c r="G66" s="1">
        <v>34046030</v>
      </c>
      <c r="H66" s="1">
        <v>34935000</v>
      </c>
      <c r="I66" s="1">
        <f>45059720</f>
        <v>45059720</v>
      </c>
      <c r="J66" s="33">
        <f>124904090</f>
        <v>124904090</v>
      </c>
      <c r="K66" s="1"/>
      <c r="L66" s="1">
        <f>229776644</f>
        <v>229776644</v>
      </c>
    </row>
    <row r="67" spans="1:12" s="4" customFormat="1" ht="41.4" x14ac:dyDescent="0.3">
      <c r="A67" s="160"/>
      <c r="B67" s="22" t="s">
        <v>257</v>
      </c>
      <c r="C67" s="37">
        <f t="shared" si="1"/>
        <v>0</v>
      </c>
      <c r="D67" s="1" t="s">
        <v>177</v>
      </c>
      <c r="E67" s="1" t="s">
        <v>177</v>
      </c>
      <c r="F67" s="1" t="s">
        <v>177</v>
      </c>
      <c r="G67" s="1" t="s">
        <v>177</v>
      </c>
      <c r="H67" s="1" t="s">
        <v>177</v>
      </c>
      <c r="I67" s="1" t="s">
        <v>177</v>
      </c>
      <c r="J67" s="1" t="s">
        <v>177</v>
      </c>
      <c r="K67" s="1" t="s">
        <v>177</v>
      </c>
      <c r="L67" s="1" t="s">
        <v>177</v>
      </c>
    </row>
    <row r="68" spans="1:12" s="4" customFormat="1" ht="55.2" x14ac:dyDescent="0.3">
      <c r="A68" s="159" t="s">
        <v>41</v>
      </c>
      <c r="B68" s="22" t="s">
        <v>258</v>
      </c>
      <c r="C68" s="37">
        <f t="shared" si="1"/>
        <v>37008837318</v>
      </c>
      <c r="D68" s="1">
        <v>134945353</v>
      </c>
      <c r="E68" s="1">
        <v>887956786</v>
      </c>
      <c r="F68" s="1">
        <v>641565653</v>
      </c>
      <c r="G68" s="1">
        <f>2261236434</f>
        <v>2261236434</v>
      </c>
      <c r="H68" s="1">
        <f>2270451320</f>
        <v>2270451320</v>
      </c>
      <c r="I68" s="1">
        <f>3274109198</f>
        <v>3274109198</v>
      </c>
      <c r="J68" s="33">
        <f>7898839274</f>
        <v>7898839274</v>
      </c>
      <c r="K68" s="1">
        <f>13816345487</f>
        <v>13816345487</v>
      </c>
      <c r="L68" s="1">
        <f>5823387813</f>
        <v>5823387813</v>
      </c>
    </row>
    <row r="69" spans="1:12" s="4" customFormat="1" ht="27.6" x14ac:dyDescent="0.3">
      <c r="A69" s="160"/>
      <c r="B69" s="22" t="s">
        <v>259</v>
      </c>
      <c r="C69" s="37">
        <f t="shared" si="1"/>
        <v>2643781647</v>
      </c>
      <c r="D69" s="1">
        <v>57288031</v>
      </c>
      <c r="E69" s="1">
        <v>91877522</v>
      </c>
      <c r="F69" s="1">
        <v>100556264</v>
      </c>
      <c r="G69" s="1">
        <f>171556681</f>
        <v>171556681</v>
      </c>
      <c r="H69" s="1" t="s">
        <v>177</v>
      </c>
      <c r="I69" s="1">
        <f>269668099</f>
        <v>269668099</v>
      </c>
      <c r="J69" s="33">
        <v>491897496</v>
      </c>
      <c r="K69" s="1">
        <v>994657418</v>
      </c>
      <c r="L69" s="1">
        <f>466280136</f>
        <v>466280136</v>
      </c>
    </row>
    <row r="70" spans="1:12" s="4" customFormat="1" ht="41.4" x14ac:dyDescent="0.3">
      <c r="A70" s="160"/>
      <c r="B70" s="22" t="s">
        <v>260</v>
      </c>
      <c r="C70" s="37">
        <f t="shared" si="1"/>
        <v>1507395116</v>
      </c>
      <c r="D70" s="1" t="s">
        <v>177</v>
      </c>
      <c r="E70" s="1" t="s">
        <v>177</v>
      </c>
      <c r="F70" s="1" t="s">
        <v>177</v>
      </c>
      <c r="G70" s="1" t="s">
        <v>177</v>
      </c>
      <c r="H70" s="1" t="s">
        <v>177</v>
      </c>
      <c r="I70" s="1" t="s">
        <v>177</v>
      </c>
      <c r="J70" s="33">
        <f>196122523</f>
        <v>196122523</v>
      </c>
      <c r="K70" s="1">
        <f>650577746</f>
        <v>650577746</v>
      </c>
      <c r="L70" s="1">
        <f>660694847</f>
        <v>660694847</v>
      </c>
    </row>
    <row r="71" spans="1:12" s="4" customFormat="1" ht="41.4" x14ac:dyDescent="0.3">
      <c r="A71" s="160"/>
      <c r="B71" s="22" t="s">
        <v>261</v>
      </c>
      <c r="C71" s="37">
        <f t="shared" si="1"/>
        <v>35949305602</v>
      </c>
      <c r="D71" s="1" t="s">
        <v>177</v>
      </c>
      <c r="E71" s="1">
        <v>1544084482</v>
      </c>
      <c r="F71" s="1">
        <v>1548286320</v>
      </c>
      <c r="G71" s="1">
        <f>1094456539</f>
        <v>1094456539</v>
      </c>
      <c r="H71" s="1">
        <f>109551600</f>
        <v>109551600</v>
      </c>
      <c r="I71" s="1">
        <f>9105684563</f>
        <v>9105684563</v>
      </c>
      <c r="J71" s="33">
        <f>18223753905</f>
        <v>18223753905</v>
      </c>
      <c r="K71" s="1">
        <f>698953106</f>
        <v>698953106</v>
      </c>
      <c r="L71" s="1">
        <f>3624535087</f>
        <v>3624535087</v>
      </c>
    </row>
    <row r="72" spans="1:12" s="4" customFormat="1" x14ac:dyDescent="0.3">
      <c r="A72" s="160"/>
      <c r="B72" s="22" t="s">
        <v>189</v>
      </c>
      <c r="C72" s="37">
        <f t="shared" si="1"/>
        <v>333225184</v>
      </c>
      <c r="D72" s="1" t="s">
        <v>177</v>
      </c>
      <c r="E72" s="1" t="s">
        <v>234</v>
      </c>
      <c r="F72" s="1"/>
      <c r="G72" s="1"/>
      <c r="H72" s="1"/>
      <c r="I72" s="1"/>
      <c r="J72" s="33">
        <f>69584977</f>
        <v>69584977</v>
      </c>
      <c r="K72" s="1">
        <f>120385518</f>
        <v>120385518</v>
      </c>
      <c r="L72" s="1">
        <f>143254689</f>
        <v>143254689</v>
      </c>
    </row>
    <row r="73" spans="1:12" s="4" customFormat="1" x14ac:dyDescent="0.3">
      <c r="A73" s="160"/>
      <c r="B73" s="86" t="s">
        <v>589</v>
      </c>
      <c r="C73" s="37">
        <f t="shared" si="1"/>
        <v>67000601328</v>
      </c>
      <c r="D73" s="1" t="s">
        <v>177</v>
      </c>
      <c r="E73" s="1">
        <v>21647749395</v>
      </c>
      <c r="F73" s="1">
        <v>1705352455</v>
      </c>
      <c r="G73" s="1">
        <f>1262361356</f>
        <v>1262361356</v>
      </c>
      <c r="H73" s="1">
        <f>277923434</f>
        <v>277923434</v>
      </c>
      <c r="I73" s="1">
        <f>9583852290</f>
        <v>9583852290</v>
      </c>
      <c r="J73" s="33">
        <f>22953227803</f>
        <v>22953227803</v>
      </c>
      <c r="K73" s="1">
        <f>2905572900</f>
        <v>2905572900</v>
      </c>
      <c r="L73" s="1">
        <f>6664561695</f>
        <v>6664561695</v>
      </c>
    </row>
    <row r="74" spans="1:12" s="4" customFormat="1" x14ac:dyDescent="0.3">
      <c r="A74" s="160"/>
      <c r="B74" s="86" t="s">
        <v>262</v>
      </c>
      <c r="C74" s="37">
        <f t="shared" si="1"/>
        <v>31986749092</v>
      </c>
      <c r="D74" s="1">
        <v>789033136</v>
      </c>
      <c r="E74" s="1">
        <v>4047214111</v>
      </c>
      <c r="F74" s="1">
        <v>3408000623</v>
      </c>
      <c r="G74" s="1">
        <f>4254393876</f>
        <v>4254393876</v>
      </c>
      <c r="H74" s="1">
        <f>5466304881</f>
        <v>5466304881</v>
      </c>
      <c r="I74" s="1">
        <f>1520768177</f>
        <v>1520768177</v>
      </c>
      <c r="J74" s="33">
        <f>4534197039</f>
        <v>4534197039</v>
      </c>
      <c r="K74" s="1">
        <v>5076906255</v>
      </c>
      <c r="L74" s="1">
        <v>2889930994</v>
      </c>
    </row>
    <row r="75" spans="1:12" s="4" customFormat="1" ht="27.6" x14ac:dyDescent="0.3">
      <c r="A75" s="160"/>
      <c r="B75" s="22" t="s">
        <v>263</v>
      </c>
      <c r="C75" s="37">
        <f t="shared" si="1"/>
        <v>2084051319</v>
      </c>
      <c r="D75" s="1">
        <v>15942294</v>
      </c>
      <c r="E75" s="1">
        <v>42608732</v>
      </c>
      <c r="F75" s="1">
        <v>56871100</v>
      </c>
      <c r="G75" s="1">
        <f>144498407</f>
        <v>144498407</v>
      </c>
      <c r="H75" s="1">
        <f>106513251</f>
        <v>106513251</v>
      </c>
      <c r="I75" s="1">
        <f>182351179</f>
        <v>182351179</v>
      </c>
      <c r="J75" s="33">
        <f>487960453</f>
        <v>487960453</v>
      </c>
      <c r="K75" s="1">
        <v>652632656</v>
      </c>
      <c r="L75" s="1">
        <f>394673247</f>
        <v>394673247</v>
      </c>
    </row>
    <row r="76" spans="1:12" s="4" customFormat="1" x14ac:dyDescent="0.3">
      <c r="A76" s="160"/>
      <c r="B76" s="22" t="s">
        <v>264</v>
      </c>
      <c r="C76" s="37">
        <f t="shared" si="1"/>
        <v>1559049940</v>
      </c>
      <c r="D76" s="1">
        <v>32299083</v>
      </c>
      <c r="E76" s="1">
        <v>46352556</v>
      </c>
      <c r="F76" s="1">
        <v>65115089</v>
      </c>
      <c r="G76" s="1">
        <f>84639214</f>
        <v>84639214</v>
      </c>
      <c r="H76" s="1">
        <f>98968216</f>
        <v>98968216</v>
      </c>
      <c r="I76" s="1">
        <f>173864880</f>
        <v>173864880</v>
      </c>
      <c r="J76" s="33">
        <v>249289283</v>
      </c>
      <c r="K76" s="1">
        <f>410795000</f>
        <v>410795000</v>
      </c>
      <c r="L76" s="1">
        <f>397726619</f>
        <v>397726619</v>
      </c>
    </row>
    <row r="77" spans="1:12" s="4" customFormat="1" ht="69" x14ac:dyDescent="0.3">
      <c r="A77" s="160"/>
      <c r="B77" s="22" t="s">
        <v>265</v>
      </c>
      <c r="C77" s="37">
        <f t="shared" si="1"/>
        <v>1002833607</v>
      </c>
      <c r="D77" s="1">
        <v>30500000</v>
      </c>
      <c r="E77" s="1">
        <v>41000000</v>
      </c>
      <c r="F77" s="1">
        <v>45675065</v>
      </c>
      <c r="G77" s="1">
        <f>65621257</f>
        <v>65621257</v>
      </c>
      <c r="H77" s="1">
        <f>63383531</f>
        <v>63383531</v>
      </c>
      <c r="I77" s="1">
        <f>76428762</f>
        <v>76428762</v>
      </c>
      <c r="J77" s="33">
        <f>251300726</f>
        <v>251300726</v>
      </c>
      <c r="K77" s="1">
        <v>232871445</v>
      </c>
      <c r="L77" s="1">
        <f>196052821</f>
        <v>196052821</v>
      </c>
    </row>
    <row r="78" spans="1:12" s="4" customFormat="1" ht="41.4" x14ac:dyDescent="0.3">
      <c r="A78" s="160"/>
      <c r="B78" s="22" t="s">
        <v>266</v>
      </c>
      <c r="C78" s="37">
        <f t="shared" si="1"/>
        <v>95001327493</v>
      </c>
      <c r="D78" s="1">
        <v>160237727</v>
      </c>
      <c r="E78" s="1">
        <v>1302102399</v>
      </c>
      <c r="F78" s="1">
        <v>1508318017</v>
      </c>
      <c r="G78" s="1">
        <f>1864649374</f>
        <v>1864649374</v>
      </c>
      <c r="H78" s="1">
        <f>2725132168</f>
        <v>2725132168</v>
      </c>
      <c r="I78" s="1">
        <f>11317013876</f>
        <v>11317013876</v>
      </c>
      <c r="J78" s="33">
        <f>25482290761</f>
        <v>25482290761</v>
      </c>
      <c r="K78" s="1">
        <v>32137939937</v>
      </c>
      <c r="L78" s="1">
        <f>18503643234</f>
        <v>18503643234</v>
      </c>
    </row>
    <row r="79" spans="1:12" s="4" customFormat="1" x14ac:dyDescent="0.3">
      <c r="A79" s="160"/>
      <c r="B79" s="22" t="s">
        <v>190</v>
      </c>
      <c r="C79" s="37">
        <f t="shared" si="1"/>
        <v>820444242</v>
      </c>
      <c r="D79" s="1" t="s">
        <v>177</v>
      </c>
      <c r="E79" s="1" t="s">
        <v>177</v>
      </c>
      <c r="F79" s="1" t="s">
        <v>177</v>
      </c>
      <c r="G79" s="1" t="s">
        <v>177</v>
      </c>
      <c r="H79" s="1" t="s">
        <v>177</v>
      </c>
      <c r="I79" s="1" t="s">
        <v>177</v>
      </c>
      <c r="J79" s="33">
        <f>89983374</f>
        <v>89983374</v>
      </c>
      <c r="K79" s="1" t="s">
        <v>177</v>
      </c>
      <c r="L79" s="1">
        <f>730460868</f>
        <v>730460868</v>
      </c>
    </row>
    <row r="80" spans="1:12" s="4" customFormat="1" ht="27.6" x14ac:dyDescent="0.3">
      <c r="A80" s="160"/>
      <c r="B80" s="22" t="s">
        <v>267</v>
      </c>
      <c r="C80" s="37">
        <f t="shared" si="1"/>
        <v>118602726896</v>
      </c>
      <c r="D80" s="1" t="s">
        <v>177</v>
      </c>
      <c r="E80" s="1">
        <v>412689289</v>
      </c>
      <c r="F80" s="1">
        <v>1403798598</v>
      </c>
      <c r="G80" s="1">
        <f>1702028567</f>
        <v>1702028567</v>
      </c>
      <c r="H80" s="1">
        <f>4093689107</f>
        <v>4093689107</v>
      </c>
      <c r="I80" s="1">
        <f>5573863555</f>
        <v>5573863555</v>
      </c>
      <c r="J80" s="33">
        <f>38538804822</f>
        <v>38538804822</v>
      </c>
      <c r="K80" s="1">
        <v>55345528097</v>
      </c>
      <c r="L80" s="1">
        <f>11532324861</f>
        <v>11532324861</v>
      </c>
    </row>
    <row r="81" spans="1:12" s="4" customFormat="1" ht="69" x14ac:dyDescent="0.3">
      <c r="A81" s="160"/>
      <c r="B81" s="22" t="s">
        <v>268</v>
      </c>
      <c r="C81" s="37">
        <f t="shared" si="1"/>
        <v>8024436888</v>
      </c>
      <c r="D81" s="1">
        <v>92500450</v>
      </c>
      <c r="E81" s="1">
        <v>130540416</v>
      </c>
      <c r="F81" s="1">
        <v>263616549</v>
      </c>
      <c r="G81" s="1">
        <f>282421134</f>
        <v>282421134</v>
      </c>
      <c r="H81" s="1">
        <f>286116134</f>
        <v>286116134</v>
      </c>
      <c r="I81" s="1">
        <f>1150149267</f>
        <v>1150149267</v>
      </c>
      <c r="J81" s="33">
        <f>1720885929</f>
        <v>1720885929</v>
      </c>
      <c r="K81" s="1">
        <v>2424131907</v>
      </c>
      <c r="L81" s="1">
        <f>1674075102</f>
        <v>1674075102</v>
      </c>
    </row>
    <row r="82" spans="1:12" s="4" customFormat="1" ht="27.6" x14ac:dyDescent="0.3">
      <c r="A82" s="161"/>
      <c r="B82" s="38" t="s">
        <v>269</v>
      </c>
      <c r="C82" s="37">
        <f t="shared" si="1"/>
        <v>71507377734</v>
      </c>
      <c r="D82" s="1">
        <v>1205019012</v>
      </c>
      <c r="E82" s="1">
        <v>3126588734</v>
      </c>
      <c r="F82" s="1">
        <v>3094740569</v>
      </c>
      <c r="G82" s="1">
        <f>2502507012</f>
        <v>2502507012</v>
      </c>
      <c r="H82" s="1">
        <f>2358634519</f>
        <v>2358634519</v>
      </c>
      <c r="I82" s="1">
        <f>4394144112</f>
        <v>4394144112</v>
      </c>
      <c r="J82" s="33">
        <f>19405339017</f>
        <v>19405339017</v>
      </c>
      <c r="K82" s="1">
        <v>20008966586</v>
      </c>
      <c r="L82" s="1">
        <f>15411438173</f>
        <v>15411438173</v>
      </c>
    </row>
    <row r="83" spans="1:12" s="4" customFormat="1" x14ac:dyDescent="0.3">
      <c r="A83" s="85" t="s">
        <v>42</v>
      </c>
      <c r="B83" s="22" t="s">
        <v>270</v>
      </c>
      <c r="C83" s="37">
        <f t="shared" si="1"/>
        <v>421376273</v>
      </c>
      <c r="D83" s="1" t="s">
        <v>177</v>
      </c>
      <c r="E83" s="1" t="s">
        <v>177</v>
      </c>
      <c r="F83" s="1">
        <v>28519674</v>
      </c>
      <c r="G83" s="1">
        <f>13962226</f>
        <v>13962226</v>
      </c>
      <c r="H83" s="1">
        <f>31525457</f>
        <v>31525457</v>
      </c>
      <c r="I83" s="1">
        <f>41533625</f>
        <v>41533625</v>
      </c>
      <c r="J83" s="33">
        <f>105279291</f>
        <v>105279291</v>
      </c>
      <c r="K83" s="1">
        <f>200556000</f>
        <v>200556000</v>
      </c>
      <c r="L83" s="1"/>
    </row>
    <row r="84" spans="1:12" s="4" customFormat="1" x14ac:dyDescent="0.3">
      <c r="A84" s="159" t="s">
        <v>28</v>
      </c>
      <c r="B84" s="86" t="s">
        <v>271</v>
      </c>
      <c r="C84" s="37">
        <f t="shared" si="1"/>
        <v>5899491606</v>
      </c>
      <c r="D84" s="1" t="s">
        <v>177</v>
      </c>
      <c r="E84" s="1">
        <v>278638383</v>
      </c>
      <c r="F84" s="1">
        <v>312038278</v>
      </c>
      <c r="G84" s="1">
        <f>470006481</f>
        <v>470006481</v>
      </c>
      <c r="H84" s="1">
        <f>267356851</f>
        <v>267356851</v>
      </c>
      <c r="I84" s="1">
        <f>483335670</f>
        <v>483335670</v>
      </c>
      <c r="J84" s="33">
        <f>520177987</f>
        <v>520177987</v>
      </c>
      <c r="K84" s="1">
        <v>978299039</v>
      </c>
      <c r="L84" s="1">
        <f>2589638917</f>
        <v>2589638917</v>
      </c>
    </row>
    <row r="85" spans="1:12" s="4" customFormat="1" x14ac:dyDescent="0.3">
      <c r="A85" s="160"/>
      <c r="B85" s="86" t="s">
        <v>273</v>
      </c>
      <c r="C85" s="37">
        <f t="shared" si="1"/>
        <v>2721758844</v>
      </c>
      <c r="D85" s="1" t="s">
        <v>177</v>
      </c>
      <c r="E85" s="1">
        <v>222185254</v>
      </c>
      <c r="F85" s="1">
        <f>27752551+323921300</f>
        <v>351673851</v>
      </c>
      <c r="G85" s="1">
        <f>67754650+372185254</f>
        <v>439939904</v>
      </c>
      <c r="H85" s="1">
        <f>68633441+372236540</f>
        <v>440869981</v>
      </c>
      <c r="I85" s="1">
        <f>56014196+382019988</f>
        <v>438034184</v>
      </c>
      <c r="J85" s="33">
        <f>107455661+385459685</f>
        <v>492915346</v>
      </c>
      <c r="K85" s="1">
        <v>234378086</v>
      </c>
      <c r="L85" s="1">
        <f>101762238</f>
        <v>101762238</v>
      </c>
    </row>
    <row r="86" spans="1:12" s="4" customFormat="1" x14ac:dyDescent="0.3">
      <c r="A86" s="160"/>
      <c r="B86" s="86" t="s">
        <v>272</v>
      </c>
      <c r="C86" s="37">
        <f t="shared" si="1"/>
        <v>2284857714</v>
      </c>
      <c r="D86" s="1" t="s">
        <v>177</v>
      </c>
      <c r="E86" s="1" t="s">
        <v>177</v>
      </c>
      <c r="F86" s="1">
        <v>112610546</v>
      </c>
      <c r="G86" s="1">
        <f>204974095</f>
        <v>204974095</v>
      </c>
      <c r="H86" s="1">
        <f>136974095</f>
        <v>136974095</v>
      </c>
      <c r="I86" s="1">
        <f>471954168</f>
        <v>471954168</v>
      </c>
      <c r="J86" s="33">
        <f>638621169</f>
        <v>638621169</v>
      </c>
      <c r="K86" s="1">
        <v>594002027</v>
      </c>
      <c r="L86" s="1">
        <f>125721614</f>
        <v>125721614</v>
      </c>
    </row>
    <row r="87" spans="1:12" s="4" customFormat="1" ht="41.4" x14ac:dyDescent="0.3">
      <c r="A87" s="160"/>
      <c r="B87" s="22" t="s">
        <v>274</v>
      </c>
      <c r="C87" s="37">
        <f t="shared" si="1"/>
        <v>1726465897</v>
      </c>
      <c r="D87" s="1">
        <v>31988461</v>
      </c>
      <c r="E87" s="1">
        <v>34921624</v>
      </c>
      <c r="F87" s="1">
        <v>124188692</v>
      </c>
      <c r="G87" s="1">
        <f>123496175</f>
        <v>123496175</v>
      </c>
      <c r="H87" s="1">
        <f>89017778</f>
        <v>89017778</v>
      </c>
      <c r="I87" s="1">
        <f>198722245</f>
        <v>198722245</v>
      </c>
      <c r="J87" s="33">
        <f>456709623</f>
        <v>456709623</v>
      </c>
      <c r="K87" s="1">
        <v>360173021</v>
      </c>
      <c r="L87" s="1">
        <f>307248278</f>
        <v>307248278</v>
      </c>
    </row>
    <row r="88" spans="1:12" s="4" customFormat="1" x14ac:dyDescent="0.3">
      <c r="A88" s="160"/>
      <c r="B88" s="22" t="s">
        <v>191</v>
      </c>
      <c r="C88" s="37">
        <f t="shared" si="1"/>
        <v>1529700551</v>
      </c>
      <c r="D88" s="1" t="s">
        <v>177</v>
      </c>
      <c r="E88" s="1" t="s">
        <v>177</v>
      </c>
      <c r="F88" s="1">
        <f>29052032+59961505</f>
        <v>89013537</v>
      </c>
      <c r="G88" s="1">
        <f>40416331+83416678</f>
        <v>123833009</v>
      </c>
      <c r="H88" s="1">
        <f>40416331+83416678</f>
        <v>123833009</v>
      </c>
      <c r="I88" s="1">
        <f>50835961+106534655</f>
        <v>157370616</v>
      </c>
      <c r="J88" s="33">
        <f>92103551+180648949</f>
        <v>272752500</v>
      </c>
      <c r="K88" s="1">
        <f>125334866+173580271</f>
        <v>298915137</v>
      </c>
      <c r="L88" s="1">
        <f>157789535+306193208</f>
        <v>463982743</v>
      </c>
    </row>
    <row r="89" spans="1:12" s="4" customFormat="1" x14ac:dyDescent="0.3">
      <c r="A89" s="161"/>
      <c r="B89" s="86" t="s">
        <v>23</v>
      </c>
      <c r="C89" s="37">
        <f t="shared" si="1"/>
        <v>5121393484</v>
      </c>
      <c r="D89" s="1">
        <f>54104129+126082739</f>
        <v>180186868</v>
      </c>
      <c r="E89" s="1">
        <f>58823270+128105228</f>
        <v>186928498</v>
      </c>
      <c r="F89" s="1">
        <f>95182551+222092619</f>
        <v>317275170</v>
      </c>
      <c r="G89" s="1">
        <f>189904889+443111407</f>
        <v>633016296</v>
      </c>
      <c r="H89" s="1">
        <f>161550048+376950112</f>
        <v>538500160</v>
      </c>
      <c r="I89" s="1">
        <f>154213093+359830550</f>
        <v>514043643</v>
      </c>
      <c r="J89" s="33">
        <f>339726920+792696147</f>
        <v>1132423067</v>
      </c>
      <c r="K89" s="1">
        <f>326372914+761536800</f>
        <v>1087909714</v>
      </c>
      <c r="L89" s="1">
        <f>159333020+371777048</f>
        <v>531110068</v>
      </c>
    </row>
    <row r="90" spans="1:12" s="4" customFormat="1" ht="27.6" x14ac:dyDescent="0.3">
      <c r="A90" s="159" t="s">
        <v>578</v>
      </c>
      <c r="B90" s="22" t="s">
        <v>275</v>
      </c>
      <c r="C90" s="37">
        <f t="shared" si="1"/>
        <v>50958363998</v>
      </c>
      <c r="D90" s="1" t="s">
        <v>177</v>
      </c>
      <c r="E90" s="1" t="s">
        <v>177</v>
      </c>
      <c r="F90" s="1">
        <v>2498196468</v>
      </c>
      <c r="G90" s="1">
        <f>3526788931</f>
        <v>3526788931</v>
      </c>
      <c r="H90" s="1">
        <f>3543117103</f>
        <v>3543117103</v>
      </c>
      <c r="I90" s="1">
        <f>7134887508</f>
        <v>7134887508</v>
      </c>
      <c r="J90" s="33">
        <f>10045617196</f>
        <v>10045617196</v>
      </c>
      <c r="K90" s="1">
        <f>17709583389</f>
        <v>17709583389</v>
      </c>
      <c r="L90" s="1">
        <f>6500173403</f>
        <v>6500173403</v>
      </c>
    </row>
    <row r="91" spans="1:12" s="4" customFormat="1" ht="55.2" x14ac:dyDescent="0.3">
      <c r="A91" s="160"/>
      <c r="B91" s="22" t="s">
        <v>276</v>
      </c>
      <c r="C91" s="37">
        <f t="shared" si="1"/>
        <v>293882168</v>
      </c>
      <c r="D91" s="1" t="s">
        <v>177</v>
      </c>
      <c r="E91" s="1" t="s">
        <v>177</v>
      </c>
      <c r="F91" s="1">
        <v>1552630</v>
      </c>
      <c r="G91" s="1">
        <f>33059739</f>
        <v>33059739</v>
      </c>
      <c r="H91" s="1">
        <f>23442753</f>
        <v>23442753</v>
      </c>
      <c r="I91" s="1">
        <f>8277711</f>
        <v>8277711</v>
      </c>
      <c r="J91" s="33">
        <f>63974254</f>
        <v>63974254</v>
      </c>
      <c r="K91" s="1">
        <f>102893699</f>
        <v>102893699</v>
      </c>
      <c r="L91" s="1">
        <f>60681382</f>
        <v>60681382</v>
      </c>
    </row>
    <row r="92" spans="1:12" s="4" customFormat="1" ht="27.6" x14ac:dyDescent="0.3">
      <c r="A92" s="160"/>
      <c r="B92" s="22" t="s">
        <v>192</v>
      </c>
      <c r="C92" s="37">
        <f t="shared" si="1"/>
        <v>2839922824</v>
      </c>
      <c r="D92" s="1" t="s">
        <v>177</v>
      </c>
      <c r="E92" s="1">
        <v>216732851</v>
      </c>
      <c r="F92" s="1">
        <v>164869348</v>
      </c>
      <c r="G92" s="1">
        <f>215978845</f>
        <v>215978845</v>
      </c>
      <c r="H92" s="1">
        <f>165739195</f>
        <v>165739195</v>
      </c>
      <c r="I92" s="1">
        <f>305911289</f>
        <v>305911289</v>
      </c>
      <c r="J92" s="33">
        <f>537916029</f>
        <v>537916029</v>
      </c>
      <c r="K92" s="1">
        <f>817928029</f>
        <v>817928029</v>
      </c>
      <c r="L92" s="1">
        <f>414847238</f>
        <v>414847238</v>
      </c>
    </row>
    <row r="93" spans="1:12" s="4" customFormat="1" x14ac:dyDescent="0.3">
      <c r="A93" s="160"/>
      <c r="B93" s="22" t="s">
        <v>277</v>
      </c>
      <c r="C93" s="37">
        <f t="shared" si="1"/>
        <v>508349185</v>
      </c>
      <c r="D93" s="1" t="s">
        <v>177</v>
      </c>
      <c r="E93" s="1" t="s">
        <v>177</v>
      </c>
      <c r="F93" s="1"/>
      <c r="G93" s="1"/>
      <c r="H93" s="1">
        <f>57326049</f>
        <v>57326049</v>
      </c>
      <c r="I93" s="1">
        <f>61139401</f>
        <v>61139401</v>
      </c>
      <c r="J93" s="33">
        <f>116092097</f>
        <v>116092097</v>
      </c>
      <c r="K93" s="1">
        <f>152918533</f>
        <v>152918533</v>
      </c>
      <c r="L93" s="1">
        <f>120873105</f>
        <v>120873105</v>
      </c>
    </row>
    <row r="94" spans="1:12" s="4" customFormat="1" ht="27.6" x14ac:dyDescent="0.3">
      <c r="A94" s="160"/>
      <c r="B94" s="22" t="s">
        <v>278</v>
      </c>
      <c r="C94" s="37">
        <f t="shared" si="1"/>
        <v>11873238770</v>
      </c>
      <c r="D94" s="1" t="s">
        <v>177</v>
      </c>
      <c r="E94" s="1" t="s">
        <v>177</v>
      </c>
      <c r="F94" s="1">
        <v>355521427</v>
      </c>
      <c r="G94" s="1">
        <f>995207887</f>
        <v>995207887</v>
      </c>
      <c r="H94" s="1">
        <f>1053101431</f>
        <v>1053101431</v>
      </c>
      <c r="I94" s="1">
        <f>1291675248</f>
        <v>1291675248</v>
      </c>
      <c r="J94" s="33">
        <f>2160046317</f>
        <v>2160046317</v>
      </c>
      <c r="K94" s="1">
        <f>4171736929</f>
        <v>4171736929</v>
      </c>
      <c r="L94" s="1">
        <f>1845949531</f>
        <v>1845949531</v>
      </c>
    </row>
    <row r="95" spans="1:12" s="4" customFormat="1" x14ac:dyDescent="0.3">
      <c r="A95" s="160"/>
      <c r="B95" s="22" t="s">
        <v>279</v>
      </c>
      <c r="C95" s="37">
        <f t="shared" si="1"/>
        <v>27542093529</v>
      </c>
      <c r="D95" s="1" t="s">
        <v>177</v>
      </c>
      <c r="E95" s="1" t="s">
        <v>177</v>
      </c>
      <c r="F95" s="1"/>
      <c r="G95" s="1">
        <f>2550485808</f>
        <v>2550485808</v>
      </c>
      <c r="H95" s="1">
        <f>1716146723</f>
        <v>1716146723</v>
      </c>
      <c r="I95" s="1">
        <f>3245474250</f>
        <v>3245474250</v>
      </c>
      <c r="J95" s="33">
        <f>4809529382</f>
        <v>4809529382</v>
      </c>
      <c r="K95" s="1">
        <f>9860101217</f>
        <v>9860101217</v>
      </c>
      <c r="L95" s="1">
        <f>5360356149</f>
        <v>5360356149</v>
      </c>
    </row>
    <row r="96" spans="1:12" s="4" customFormat="1" x14ac:dyDescent="0.3">
      <c r="A96" s="160"/>
      <c r="B96" s="22" t="s">
        <v>281</v>
      </c>
      <c r="C96" s="37">
        <f t="shared" si="1"/>
        <v>26033149891</v>
      </c>
      <c r="D96" s="1" t="s">
        <v>177</v>
      </c>
      <c r="E96" s="1" t="s">
        <v>177</v>
      </c>
      <c r="F96" s="1">
        <v>1318566613</v>
      </c>
      <c r="G96" s="1">
        <f>2039489891</f>
        <v>2039489891</v>
      </c>
      <c r="H96" s="1">
        <f>2082992532</f>
        <v>2082992532</v>
      </c>
      <c r="I96" s="1">
        <f>3062791192</f>
        <v>3062791192</v>
      </c>
      <c r="J96" s="33">
        <f>3864674993</f>
        <v>3864674993</v>
      </c>
      <c r="K96" s="1">
        <f>7387021630</f>
        <v>7387021630</v>
      </c>
      <c r="L96" s="1">
        <f>6277613040</f>
        <v>6277613040</v>
      </c>
    </row>
    <row r="97" spans="1:12" s="4" customFormat="1" ht="27.6" x14ac:dyDescent="0.3">
      <c r="A97" s="160"/>
      <c r="B97" s="22" t="s">
        <v>280</v>
      </c>
      <c r="C97" s="37">
        <f t="shared" si="1"/>
        <v>33113584254</v>
      </c>
      <c r="D97" s="1" t="s">
        <v>177</v>
      </c>
      <c r="E97" s="1" t="s">
        <v>177</v>
      </c>
      <c r="F97" s="1">
        <v>177834942</v>
      </c>
      <c r="G97" s="1">
        <f>2499603159</f>
        <v>2499603159</v>
      </c>
      <c r="H97" s="1">
        <f>2246726684</f>
        <v>2246726684</v>
      </c>
      <c r="I97" s="1">
        <f>6999821227</f>
        <v>6999821227</v>
      </c>
      <c r="J97" s="33">
        <f>8061680411</f>
        <v>8061680411</v>
      </c>
      <c r="K97" s="1">
        <f>10276365234</f>
        <v>10276365234</v>
      </c>
      <c r="L97" s="1">
        <f>2851552597</f>
        <v>2851552597</v>
      </c>
    </row>
    <row r="98" spans="1:12" s="4" customFormat="1" ht="27.6" x14ac:dyDescent="0.3">
      <c r="A98" s="160"/>
      <c r="B98" s="38" t="s">
        <v>282</v>
      </c>
      <c r="C98" s="37">
        <f t="shared" si="1"/>
        <v>1941499517</v>
      </c>
      <c r="D98" s="1" t="s">
        <v>177</v>
      </c>
      <c r="E98" s="1">
        <v>137428324</v>
      </c>
      <c r="F98" s="1">
        <v>149179979</v>
      </c>
      <c r="G98" s="1">
        <f>195425772</f>
        <v>195425772</v>
      </c>
      <c r="H98" s="1">
        <f>149179979</f>
        <v>149179979</v>
      </c>
      <c r="I98" s="1">
        <f>145556557</f>
        <v>145556557</v>
      </c>
      <c r="J98" s="33">
        <f>341684323</f>
        <v>341684323</v>
      </c>
      <c r="K98" s="1">
        <f>497690336</f>
        <v>497690336</v>
      </c>
      <c r="L98" s="1">
        <f>325354247</f>
        <v>325354247</v>
      </c>
    </row>
    <row r="99" spans="1:12" s="4" customFormat="1" ht="27.6" x14ac:dyDescent="0.3">
      <c r="A99" s="160"/>
      <c r="B99" s="38" t="s">
        <v>283</v>
      </c>
      <c r="C99" s="37">
        <f t="shared" si="1"/>
        <v>48685422</v>
      </c>
      <c r="D99" s="1" t="s">
        <v>177</v>
      </c>
      <c r="E99" s="1" t="s">
        <v>177</v>
      </c>
      <c r="F99" s="1" t="s">
        <v>177</v>
      </c>
      <c r="G99" s="1">
        <f>5654554</f>
        <v>5654554</v>
      </c>
      <c r="H99" s="1">
        <f>5654554</f>
        <v>5654554</v>
      </c>
      <c r="I99" s="1">
        <f>9555607</f>
        <v>9555607</v>
      </c>
      <c r="J99" s="33">
        <f>10404368</f>
        <v>10404368</v>
      </c>
      <c r="K99" s="1">
        <f>17416339</f>
        <v>17416339</v>
      </c>
      <c r="L99" s="1" t="s">
        <v>177</v>
      </c>
    </row>
    <row r="100" spans="1:12" s="4" customFormat="1" ht="27.6" x14ac:dyDescent="0.3">
      <c r="A100" s="160"/>
      <c r="B100" s="38" t="s">
        <v>284</v>
      </c>
      <c r="C100" s="37">
        <f t="shared" si="1"/>
        <v>159793266</v>
      </c>
      <c r="D100" s="1" t="s">
        <v>177</v>
      </c>
      <c r="E100" s="1" t="s">
        <v>177</v>
      </c>
      <c r="F100" s="1" t="s">
        <v>177</v>
      </c>
      <c r="G100" s="1" t="s">
        <v>177</v>
      </c>
      <c r="H100" s="1" t="s">
        <v>177</v>
      </c>
      <c r="I100" s="1" t="s">
        <v>177</v>
      </c>
      <c r="J100" s="33">
        <f>24541598</f>
        <v>24541598</v>
      </c>
      <c r="K100" s="1">
        <f>135251668</f>
        <v>135251668</v>
      </c>
      <c r="L100" s="1" t="s">
        <v>177</v>
      </c>
    </row>
    <row r="101" spans="1:12" s="4" customFormat="1" ht="27.6" x14ac:dyDescent="0.3">
      <c r="A101" s="160"/>
      <c r="B101" s="38" t="s">
        <v>285</v>
      </c>
      <c r="C101" s="37">
        <f t="shared" si="1"/>
        <v>960836912</v>
      </c>
      <c r="D101" s="1" t="s">
        <v>177</v>
      </c>
      <c r="E101" s="1" t="s">
        <v>177</v>
      </c>
      <c r="F101" s="1">
        <v>18644860</v>
      </c>
      <c r="G101" s="1">
        <f>73482922</f>
        <v>73482922</v>
      </c>
      <c r="H101" s="1">
        <f>76405876</f>
        <v>76405876</v>
      </c>
      <c r="I101" s="1">
        <f>119453803</f>
        <v>119453803</v>
      </c>
      <c r="J101" s="33">
        <f>193619124</f>
        <v>193619124</v>
      </c>
      <c r="K101" s="1">
        <f>330462704</f>
        <v>330462704</v>
      </c>
      <c r="L101" s="1">
        <f>148767623</f>
        <v>148767623</v>
      </c>
    </row>
    <row r="102" spans="1:12" s="7" customFormat="1" ht="18.75" customHeight="1" x14ac:dyDescent="0.3">
      <c r="A102" s="160"/>
      <c r="B102" s="43" t="s">
        <v>286</v>
      </c>
      <c r="C102" s="44">
        <f t="shared" si="1"/>
        <v>1915458536</v>
      </c>
      <c r="D102" s="1" t="s">
        <v>177</v>
      </c>
      <c r="E102" s="1" t="s">
        <v>177</v>
      </c>
      <c r="F102" s="1">
        <v>20241906</v>
      </c>
      <c r="G102" s="1">
        <f>35958639</f>
        <v>35958639</v>
      </c>
      <c r="H102" s="1">
        <f>35958639</f>
        <v>35958639</v>
      </c>
      <c r="I102" s="1">
        <f>136068584</f>
        <v>136068584</v>
      </c>
      <c r="J102" s="33">
        <f>284095917</f>
        <v>284095917</v>
      </c>
      <c r="K102" s="1">
        <f>1103970237</f>
        <v>1103970237</v>
      </c>
      <c r="L102" s="1">
        <f>299164614</f>
        <v>299164614</v>
      </c>
    </row>
    <row r="103" spans="1:12" s="4" customFormat="1" ht="27.6" x14ac:dyDescent="0.3">
      <c r="A103" s="160"/>
      <c r="B103" s="38" t="s">
        <v>287</v>
      </c>
      <c r="C103" s="37">
        <f t="shared" si="1"/>
        <v>1519764926</v>
      </c>
      <c r="D103" s="1" t="s">
        <v>177</v>
      </c>
      <c r="E103" s="1" t="s">
        <v>177</v>
      </c>
      <c r="F103" s="1">
        <v>33642000</v>
      </c>
      <c r="G103" s="1">
        <f>65598291</f>
        <v>65598291</v>
      </c>
      <c r="H103" s="1">
        <f>91003354</f>
        <v>91003354</v>
      </c>
      <c r="I103" s="1">
        <f>149088540</f>
        <v>149088540</v>
      </c>
      <c r="J103" s="33">
        <f>260289220</f>
        <v>260289220</v>
      </c>
      <c r="K103" s="1">
        <f>597595979</f>
        <v>597595979</v>
      </c>
      <c r="L103" s="1">
        <f>322547542</f>
        <v>322547542</v>
      </c>
    </row>
    <row r="104" spans="1:12" s="4" customFormat="1" ht="27.6" x14ac:dyDescent="0.3">
      <c r="A104" s="160"/>
      <c r="B104" s="38" t="s">
        <v>288</v>
      </c>
      <c r="C104" s="37">
        <f t="shared" si="1"/>
        <v>656668386</v>
      </c>
      <c r="D104" s="1" t="s">
        <v>177</v>
      </c>
      <c r="E104" s="1" t="s">
        <v>177</v>
      </c>
      <c r="F104" s="1" t="s">
        <v>177</v>
      </c>
      <c r="G104" s="1">
        <f>45694912</f>
        <v>45694912</v>
      </c>
      <c r="H104" s="1">
        <f>47744809</f>
        <v>47744809</v>
      </c>
      <c r="I104" s="1">
        <f>89821994</f>
        <v>89821994</v>
      </c>
      <c r="J104" s="33">
        <f>109512843</f>
        <v>109512843</v>
      </c>
      <c r="K104" s="1">
        <f>226057885</f>
        <v>226057885</v>
      </c>
      <c r="L104" s="1">
        <f>137835943</f>
        <v>137835943</v>
      </c>
    </row>
    <row r="105" spans="1:12" s="4" customFormat="1" ht="41.4" x14ac:dyDescent="0.3">
      <c r="A105" s="160"/>
      <c r="B105" s="38" t="s">
        <v>289</v>
      </c>
      <c r="C105" s="37">
        <f t="shared" si="1"/>
        <v>4764944599</v>
      </c>
      <c r="D105" s="1" t="s">
        <v>177</v>
      </c>
      <c r="E105" s="1" t="s">
        <v>177</v>
      </c>
      <c r="F105" s="1" t="s">
        <v>177</v>
      </c>
      <c r="G105" s="1">
        <f>359730046</f>
        <v>359730046</v>
      </c>
      <c r="H105" s="1">
        <f>364730046</f>
        <v>364730046</v>
      </c>
      <c r="I105" s="1">
        <f>574326342</f>
        <v>574326342</v>
      </c>
      <c r="J105" s="33">
        <f>1100863912</f>
        <v>1100863912</v>
      </c>
      <c r="K105" s="1">
        <f>1646588534</f>
        <v>1646588534</v>
      </c>
      <c r="L105" s="1">
        <f>718705719</f>
        <v>718705719</v>
      </c>
    </row>
    <row r="106" spans="1:12" s="4" customFormat="1" x14ac:dyDescent="0.3">
      <c r="A106" s="160"/>
      <c r="B106" s="38" t="s">
        <v>290</v>
      </c>
      <c r="C106" s="37">
        <f t="shared" si="1"/>
        <v>24386057552</v>
      </c>
      <c r="D106" s="1" t="s">
        <v>177</v>
      </c>
      <c r="E106" s="1" t="s">
        <v>177</v>
      </c>
      <c r="F106" s="1">
        <v>443542271</v>
      </c>
      <c r="G106" s="1">
        <f>541935836</f>
        <v>541935836</v>
      </c>
      <c r="H106" s="1">
        <f>1245478096</f>
        <v>1245478096</v>
      </c>
      <c r="I106" s="1">
        <f>2215063769</f>
        <v>2215063769</v>
      </c>
      <c r="J106" s="33">
        <f>6149819029</f>
        <v>6149819029</v>
      </c>
      <c r="K106" s="1">
        <f>10125323733</f>
        <v>10125323733</v>
      </c>
      <c r="L106" s="1">
        <f>3664894818</f>
        <v>3664894818</v>
      </c>
    </row>
    <row r="107" spans="1:12" s="4" customFormat="1" ht="27.6" x14ac:dyDescent="0.3">
      <c r="A107" s="160"/>
      <c r="B107" s="38" t="s">
        <v>291</v>
      </c>
      <c r="C107" s="37">
        <f t="shared" si="1"/>
        <v>2151761398</v>
      </c>
      <c r="D107" s="1" t="s">
        <v>177</v>
      </c>
      <c r="E107" s="1" t="s">
        <v>177</v>
      </c>
      <c r="F107" s="1" t="s">
        <v>177</v>
      </c>
      <c r="G107" s="1" t="s">
        <v>177</v>
      </c>
      <c r="H107" s="1">
        <f>153971416</f>
        <v>153971416</v>
      </c>
      <c r="I107" s="1">
        <f>372484522</f>
        <v>372484522</v>
      </c>
      <c r="J107" s="33">
        <f>416322669</f>
        <v>416322669</v>
      </c>
      <c r="K107" s="1">
        <f>774304560</f>
        <v>774304560</v>
      </c>
      <c r="L107" s="1">
        <f>434678231</f>
        <v>434678231</v>
      </c>
    </row>
    <row r="108" spans="1:12" s="4" customFormat="1" ht="41.4" x14ac:dyDescent="0.3">
      <c r="A108" s="160"/>
      <c r="B108" s="38" t="s">
        <v>292</v>
      </c>
      <c r="C108" s="37">
        <f t="shared" si="1"/>
        <v>10272961300</v>
      </c>
      <c r="D108" s="1" t="s">
        <v>177</v>
      </c>
      <c r="E108" s="1">
        <v>345415605</v>
      </c>
      <c r="F108" s="1">
        <v>345415605</v>
      </c>
      <c r="G108" s="1">
        <f>539365182</f>
        <v>539365182</v>
      </c>
      <c r="H108" s="1">
        <f>950110854</f>
        <v>950110854</v>
      </c>
      <c r="I108" s="1">
        <f>1262026663</f>
        <v>1262026663</v>
      </c>
      <c r="J108" s="33">
        <f>1761219233</f>
        <v>1761219233</v>
      </c>
      <c r="K108" s="1">
        <f>3248334157</f>
        <v>3248334157</v>
      </c>
      <c r="L108" s="1">
        <f>1821074001</f>
        <v>1821074001</v>
      </c>
    </row>
    <row r="109" spans="1:12" s="4" customFormat="1" ht="27.6" x14ac:dyDescent="0.3">
      <c r="A109" s="160"/>
      <c r="B109" s="38" t="s">
        <v>293</v>
      </c>
      <c r="C109" s="37">
        <f t="shared" si="1"/>
        <v>480602816</v>
      </c>
      <c r="D109" s="1" t="s">
        <v>177</v>
      </c>
      <c r="E109" s="1" t="s">
        <v>177</v>
      </c>
      <c r="F109" s="1" t="s">
        <v>177</v>
      </c>
      <c r="G109" s="1">
        <f>49402986</f>
        <v>49402986</v>
      </c>
      <c r="H109" s="1">
        <f>52793239</f>
        <v>52793239</v>
      </c>
      <c r="I109" s="1">
        <f>67209812</f>
        <v>67209812</v>
      </c>
      <c r="J109" s="33">
        <f>129208728</f>
        <v>129208728</v>
      </c>
      <c r="K109" s="1">
        <f>181988051</f>
        <v>181988051</v>
      </c>
      <c r="L109" s="1" t="s">
        <v>177</v>
      </c>
    </row>
    <row r="110" spans="1:12" s="4" customFormat="1" ht="27.6" x14ac:dyDescent="0.3">
      <c r="A110" s="160"/>
      <c r="B110" s="38" t="s">
        <v>294</v>
      </c>
      <c r="C110" s="37">
        <f t="shared" si="1"/>
        <v>2509680712</v>
      </c>
      <c r="D110" s="1" t="s">
        <v>177</v>
      </c>
      <c r="E110" s="1" t="s">
        <v>177</v>
      </c>
      <c r="F110" s="1" t="s">
        <v>177</v>
      </c>
      <c r="G110" s="1"/>
      <c r="H110" s="1" t="s">
        <v>177</v>
      </c>
      <c r="I110" s="1">
        <f>896913477</f>
        <v>896913477</v>
      </c>
      <c r="J110" s="1" t="s">
        <v>177</v>
      </c>
      <c r="K110" s="1">
        <f>1247646772</f>
        <v>1247646772</v>
      </c>
      <c r="L110" s="1">
        <f>365120463</f>
        <v>365120463</v>
      </c>
    </row>
    <row r="111" spans="1:12" s="4" customFormat="1" ht="27.6" x14ac:dyDescent="0.3">
      <c r="A111" s="160"/>
      <c r="B111" s="38" t="s">
        <v>295</v>
      </c>
      <c r="C111" s="37">
        <f t="shared" si="1"/>
        <v>1141761444</v>
      </c>
      <c r="D111" s="1" t="s">
        <v>177</v>
      </c>
      <c r="E111" s="1" t="s">
        <v>177</v>
      </c>
      <c r="F111" s="1" t="s">
        <v>177</v>
      </c>
      <c r="G111" s="1">
        <f>24649002</f>
        <v>24649002</v>
      </c>
      <c r="H111" s="1">
        <f>87573198</f>
        <v>87573198</v>
      </c>
      <c r="I111" s="1">
        <f>137353210</f>
        <v>137353210</v>
      </c>
      <c r="J111" s="33">
        <f>225119337</f>
        <v>225119337</v>
      </c>
      <c r="K111" s="1">
        <f>427692172</f>
        <v>427692172</v>
      </c>
      <c r="L111" s="1">
        <f>239374525</f>
        <v>239374525</v>
      </c>
    </row>
    <row r="112" spans="1:12" s="4" customFormat="1" ht="41.4" x14ac:dyDescent="0.3">
      <c r="A112" s="160"/>
      <c r="B112" s="38" t="s">
        <v>296</v>
      </c>
      <c r="C112" s="37">
        <f t="shared" si="1"/>
        <v>1536817498</v>
      </c>
      <c r="D112" s="1" t="s">
        <v>177</v>
      </c>
      <c r="E112" s="1" t="s">
        <v>177</v>
      </c>
      <c r="F112" s="1" t="s">
        <v>177</v>
      </c>
      <c r="G112" s="1">
        <f>30012567</f>
        <v>30012567</v>
      </c>
      <c r="H112" s="1">
        <f>149043097</f>
        <v>149043097</v>
      </c>
      <c r="I112" s="1">
        <f>231233369</f>
        <v>231233369</v>
      </c>
      <c r="J112" s="33">
        <f>396721617</f>
        <v>396721617</v>
      </c>
      <c r="K112" s="1">
        <f>452991280</f>
        <v>452991280</v>
      </c>
      <c r="L112" s="1">
        <f>276815568</f>
        <v>276815568</v>
      </c>
    </row>
    <row r="113" spans="1:12" s="4" customFormat="1" ht="27.6" x14ac:dyDescent="0.3">
      <c r="A113" s="160"/>
      <c r="B113" s="38" t="s">
        <v>297</v>
      </c>
      <c r="C113" s="37">
        <f t="shared" ref="C113:C170" si="2">SUM(D113:L113)</f>
        <v>109486358</v>
      </c>
      <c r="D113" s="1" t="s">
        <v>177</v>
      </c>
      <c r="E113" s="1" t="s">
        <v>177</v>
      </c>
      <c r="F113" s="1" t="s">
        <v>177</v>
      </c>
      <c r="G113" s="1" t="s">
        <v>177</v>
      </c>
      <c r="H113" s="1">
        <f>12511867</f>
        <v>12511867</v>
      </c>
      <c r="I113" s="1">
        <f>14688124</f>
        <v>14688124</v>
      </c>
      <c r="J113" s="33">
        <f>24029550</f>
        <v>24029550</v>
      </c>
      <c r="K113" s="1">
        <f>40274041</f>
        <v>40274041</v>
      </c>
      <c r="L113" s="1">
        <f>17982776</f>
        <v>17982776</v>
      </c>
    </row>
    <row r="114" spans="1:12" s="4" customFormat="1" ht="27.6" x14ac:dyDescent="0.3">
      <c r="A114" s="160"/>
      <c r="B114" s="38" t="s">
        <v>298</v>
      </c>
      <c r="C114" s="37">
        <f t="shared" si="2"/>
        <v>675801038</v>
      </c>
      <c r="D114" s="1" t="s">
        <v>177</v>
      </c>
      <c r="E114" s="1" t="s">
        <v>177</v>
      </c>
      <c r="F114" s="1" t="s">
        <v>177</v>
      </c>
      <c r="G114" s="1" t="s">
        <v>177</v>
      </c>
      <c r="H114" s="1">
        <f>87948656</f>
        <v>87948656</v>
      </c>
      <c r="I114" s="1">
        <f>105349198</f>
        <v>105349198</v>
      </c>
      <c r="J114" s="33">
        <f>131671973</f>
        <v>131671973</v>
      </c>
      <c r="K114" s="1">
        <f>219868874</f>
        <v>219868874</v>
      </c>
      <c r="L114" s="1">
        <f>130962337</f>
        <v>130962337</v>
      </c>
    </row>
    <row r="115" spans="1:12" s="4" customFormat="1" ht="27.6" x14ac:dyDescent="0.3">
      <c r="A115" s="160"/>
      <c r="B115" s="38" t="s">
        <v>300</v>
      </c>
      <c r="C115" s="37">
        <f t="shared" si="2"/>
        <v>410751402</v>
      </c>
      <c r="D115" s="1" t="s">
        <v>177</v>
      </c>
      <c r="E115" s="1" t="s">
        <v>177</v>
      </c>
      <c r="F115" s="1" t="s">
        <v>177</v>
      </c>
      <c r="G115" s="1">
        <f>28425989</f>
        <v>28425989</v>
      </c>
      <c r="H115" s="1">
        <f>43863673</f>
        <v>43863673</v>
      </c>
      <c r="I115" s="1">
        <f>78133282</f>
        <v>78133282</v>
      </c>
      <c r="J115" s="33">
        <f>74106444</f>
        <v>74106444</v>
      </c>
      <c r="K115" s="1">
        <f>126284573</f>
        <v>126284573</v>
      </c>
      <c r="L115" s="1">
        <f>59937441</f>
        <v>59937441</v>
      </c>
    </row>
    <row r="116" spans="1:12" s="4" customFormat="1" ht="27.6" x14ac:dyDescent="0.3">
      <c r="A116" s="160"/>
      <c r="B116" s="38" t="s">
        <v>299</v>
      </c>
      <c r="C116" s="37">
        <f t="shared" si="2"/>
        <v>433885884</v>
      </c>
      <c r="D116" s="1" t="s">
        <v>177</v>
      </c>
      <c r="E116" s="1" t="s">
        <v>177</v>
      </c>
      <c r="F116" s="1" t="s">
        <v>177</v>
      </c>
      <c r="G116" s="1" t="s">
        <v>177</v>
      </c>
      <c r="H116" s="1">
        <f>42672280</f>
        <v>42672280</v>
      </c>
      <c r="I116" s="1">
        <f>55223867</f>
        <v>55223867</v>
      </c>
      <c r="J116" s="33">
        <f>83816463</f>
        <v>83816463</v>
      </c>
      <c r="K116" s="1">
        <f>153808697</f>
        <v>153808697</v>
      </c>
      <c r="L116" s="1">
        <f>98364577</f>
        <v>98364577</v>
      </c>
    </row>
    <row r="117" spans="1:12" s="4" customFormat="1" ht="27.6" x14ac:dyDescent="0.3">
      <c r="A117" s="160"/>
      <c r="B117" s="38" t="s">
        <v>301</v>
      </c>
      <c r="C117" s="37">
        <f t="shared" si="2"/>
        <v>2187544088</v>
      </c>
      <c r="D117" s="1" t="s">
        <v>177</v>
      </c>
      <c r="E117" s="1" t="s">
        <v>177</v>
      </c>
      <c r="F117" s="1" t="s">
        <v>177</v>
      </c>
      <c r="G117" s="1" t="s">
        <v>177</v>
      </c>
      <c r="H117" s="1">
        <f>21585375</f>
        <v>21585375</v>
      </c>
      <c r="I117" s="1">
        <f>178989745</f>
        <v>178989745</v>
      </c>
      <c r="J117" s="33">
        <f>452647141</f>
        <v>452647141</v>
      </c>
      <c r="K117" s="1">
        <f>974362515</f>
        <v>974362515</v>
      </c>
      <c r="L117" s="1">
        <f>559959312</f>
        <v>559959312</v>
      </c>
    </row>
    <row r="118" spans="1:12" s="4" customFormat="1" ht="27.6" x14ac:dyDescent="0.3">
      <c r="A118" s="160"/>
      <c r="B118" s="38" t="s">
        <v>302</v>
      </c>
      <c r="C118" s="37">
        <f t="shared" si="2"/>
        <v>1238923802</v>
      </c>
      <c r="D118" s="1" t="s">
        <v>177</v>
      </c>
      <c r="E118" s="1" t="s">
        <v>177</v>
      </c>
      <c r="F118" s="1" t="s">
        <v>177</v>
      </c>
      <c r="G118" s="1">
        <f>80824543</f>
        <v>80824543</v>
      </c>
      <c r="H118" s="1">
        <f>104060989</f>
        <v>104060989</v>
      </c>
      <c r="I118" s="1">
        <v>219851348</v>
      </c>
      <c r="J118" s="33">
        <f>255465878</f>
        <v>255465878</v>
      </c>
      <c r="K118" s="1">
        <f>385296045</f>
        <v>385296045</v>
      </c>
      <c r="L118" s="1">
        <f>193424999</f>
        <v>193424999</v>
      </c>
    </row>
    <row r="119" spans="1:12" s="4" customFormat="1" ht="27.6" x14ac:dyDescent="0.3">
      <c r="A119" s="160"/>
      <c r="B119" s="38" t="s">
        <v>303</v>
      </c>
      <c r="C119" s="37">
        <f t="shared" si="2"/>
        <v>7961000</v>
      </c>
      <c r="D119" s="1" t="s">
        <v>177</v>
      </c>
      <c r="E119" s="1" t="s">
        <v>177</v>
      </c>
      <c r="F119" s="1" t="s">
        <v>177</v>
      </c>
      <c r="G119" s="1"/>
      <c r="H119" s="1"/>
      <c r="I119" s="33">
        <f>2653666</f>
        <v>2653666</v>
      </c>
      <c r="J119" s="33">
        <f>2653666</f>
        <v>2653666</v>
      </c>
      <c r="K119" s="1">
        <f>2653668</f>
        <v>2653668</v>
      </c>
      <c r="L119" s="1"/>
    </row>
    <row r="120" spans="1:12" s="4" customFormat="1" x14ac:dyDescent="0.3">
      <c r="A120" s="160"/>
      <c r="B120" s="38" t="s">
        <v>193</v>
      </c>
      <c r="C120" s="37">
        <f t="shared" si="2"/>
        <v>7141162734</v>
      </c>
      <c r="D120" s="1" t="s">
        <v>177</v>
      </c>
      <c r="E120" s="1">
        <v>174390168</v>
      </c>
      <c r="F120" s="1">
        <v>222198641</v>
      </c>
      <c r="G120" s="1">
        <f>264555965</f>
        <v>264555965</v>
      </c>
      <c r="H120" s="1">
        <f>407860688</f>
        <v>407860688</v>
      </c>
      <c r="I120" s="1">
        <f>755657095</f>
        <v>755657095</v>
      </c>
      <c r="J120" s="33">
        <f>1166920315</f>
        <v>1166920315</v>
      </c>
      <c r="K120" s="1">
        <f>2786369254</f>
        <v>2786369254</v>
      </c>
      <c r="L120" s="1">
        <f>1363210608</f>
        <v>1363210608</v>
      </c>
    </row>
    <row r="121" spans="1:12" s="4" customFormat="1" ht="41.4" x14ac:dyDescent="0.3">
      <c r="A121" s="161"/>
      <c r="B121" s="38" t="s">
        <v>304</v>
      </c>
      <c r="C121" s="37">
        <f t="shared" si="2"/>
        <v>1166129928</v>
      </c>
      <c r="D121" s="1" t="s">
        <v>177</v>
      </c>
      <c r="E121" s="1" t="s">
        <v>177</v>
      </c>
      <c r="F121" s="1" t="s">
        <v>177</v>
      </c>
      <c r="G121" s="1">
        <f>213790368</f>
        <v>213790368</v>
      </c>
      <c r="H121" s="1">
        <f>117716493</f>
        <v>117716493</v>
      </c>
      <c r="I121" s="1">
        <f>144610318</f>
        <v>144610318</v>
      </c>
      <c r="J121" s="33">
        <f>185332956</f>
        <v>185332956</v>
      </c>
      <c r="K121" s="1">
        <f>352877225</f>
        <v>352877225</v>
      </c>
      <c r="L121" s="1">
        <f>151802568</f>
        <v>151802568</v>
      </c>
    </row>
    <row r="122" spans="1:12" s="4" customFormat="1" ht="27.6" x14ac:dyDescent="0.3">
      <c r="A122" s="159" t="s">
        <v>20</v>
      </c>
      <c r="B122" s="22" t="s">
        <v>305</v>
      </c>
      <c r="C122" s="37">
        <f t="shared" si="2"/>
        <v>18695122849</v>
      </c>
      <c r="D122" s="1" t="s">
        <v>177</v>
      </c>
      <c r="E122" s="1">
        <v>338050592</v>
      </c>
      <c r="F122" s="1">
        <v>2005217424</v>
      </c>
      <c r="G122" s="1">
        <f>791705507</f>
        <v>791705507</v>
      </c>
      <c r="H122" s="1">
        <f>1096239349</f>
        <v>1096239349</v>
      </c>
      <c r="I122" s="1">
        <f>2002935350</f>
        <v>2002935350</v>
      </c>
      <c r="J122" s="33">
        <f>5926583764</f>
        <v>5926583764</v>
      </c>
      <c r="K122" s="1">
        <f>3082742329</f>
        <v>3082742329</v>
      </c>
      <c r="L122" s="1">
        <f>3451648534</f>
        <v>3451648534</v>
      </c>
    </row>
    <row r="123" spans="1:12" s="4" customFormat="1" ht="27.6" x14ac:dyDescent="0.3">
      <c r="A123" s="160"/>
      <c r="B123" s="22" t="s">
        <v>306</v>
      </c>
      <c r="C123" s="37">
        <f t="shared" si="2"/>
        <v>7673006634</v>
      </c>
      <c r="D123" s="1" t="s">
        <v>177</v>
      </c>
      <c r="E123" s="1">
        <v>124553282</v>
      </c>
      <c r="F123" s="1">
        <v>255389566</v>
      </c>
      <c r="G123" s="1">
        <f>398031654</f>
        <v>398031654</v>
      </c>
      <c r="H123" s="1">
        <f>281780711</f>
        <v>281780711</v>
      </c>
      <c r="I123" s="1">
        <f>941106044</f>
        <v>941106044</v>
      </c>
      <c r="J123" s="33">
        <f>1320821502</f>
        <v>1320821502</v>
      </c>
      <c r="K123" s="1">
        <f>3608561331</f>
        <v>3608561331</v>
      </c>
      <c r="L123" s="1">
        <f>742762544</f>
        <v>742762544</v>
      </c>
    </row>
    <row r="124" spans="1:12" s="4" customFormat="1" x14ac:dyDescent="0.3">
      <c r="A124" s="160"/>
      <c r="B124" s="22" t="s">
        <v>307</v>
      </c>
      <c r="C124" s="37">
        <f t="shared" si="2"/>
        <v>2449066620</v>
      </c>
      <c r="D124" s="1" t="s">
        <v>177</v>
      </c>
      <c r="E124" s="1">
        <v>21588996</v>
      </c>
      <c r="F124" s="1">
        <v>44627828</v>
      </c>
      <c r="G124" s="1">
        <f>149001344</f>
        <v>149001344</v>
      </c>
      <c r="H124" s="1">
        <f>158011259</f>
        <v>158011259</v>
      </c>
      <c r="I124" s="1">
        <f>266410614</f>
        <v>266410614</v>
      </c>
      <c r="J124" s="33">
        <f>558511332</f>
        <v>558511332</v>
      </c>
      <c r="K124" s="1">
        <f>790996406</f>
        <v>790996406</v>
      </c>
      <c r="L124" s="1">
        <f>459918841</f>
        <v>459918841</v>
      </c>
    </row>
    <row r="125" spans="1:12" s="4" customFormat="1" x14ac:dyDescent="0.3">
      <c r="A125" s="160"/>
      <c r="B125" s="22" t="s">
        <v>308</v>
      </c>
      <c r="C125" s="37">
        <f t="shared" si="2"/>
        <v>2380610464</v>
      </c>
      <c r="D125" s="1" t="s">
        <v>177</v>
      </c>
      <c r="E125" s="1">
        <f>14000000+13366170</f>
        <v>27366170</v>
      </c>
      <c r="F125" s="1">
        <f>53743142+125400663</f>
        <v>179143805</v>
      </c>
      <c r="G125" s="1">
        <f>70534136</f>
        <v>70534136</v>
      </c>
      <c r="H125" s="1">
        <f>101615096+153404193</f>
        <v>255019289</v>
      </c>
      <c r="I125" s="1">
        <f>152052905+248461013</f>
        <v>400513918</v>
      </c>
      <c r="J125" s="33">
        <f>432296321</f>
        <v>432296321</v>
      </c>
      <c r="K125" s="1">
        <f>361959232</f>
        <v>361959232</v>
      </c>
      <c r="L125" s="1">
        <f>653777593</f>
        <v>653777593</v>
      </c>
    </row>
    <row r="126" spans="1:12" s="4" customFormat="1" x14ac:dyDescent="0.3">
      <c r="A126" s="160"/>
      <c r="B126" s="22" t="s">
        <v>309</v>
      </c>
      <c r="C126" s="37">
        <f t="shared" si="2"/>
        <v>636491499</v>
      </c>
      <c r="D126" s="1" t="s">
        <v>177</v>
      </c>
      <c r="E126" s="1">
        <v>3394862</v>
      </c>
      <c r="F126" s="1">
        <v>9958810</v>
      </c>
      <c r="G126" s="1">
        <f>44746830</f>
        <v>44746830</v>
      </c>
      <c r="H126" s="1">
        <f>40621770</f>
        <v>40621770</v>
      </c>
      <c r="I126" s="1">
        <f>126246209</f>
        <v>126246209</v>
      </c>
      <c r="J126" s="33">
        <f>100258961</f>
        <v>100258961</v>
      </c>
      <c r="K126" s="1">
        <f>234397267</f>
        <v>234397267</v>
      </c>
      <c r="L126" s="1">
        <f>76866790</f>
        <v>76866790</v>
      </c>
    </row>
    <row r="127" spans="1:12" s="4" customFormat="1" x14ac:dyDescent="0.3">
      <c r="A127" s="160"/>
      <c r="B127" s="22" t="s">
        <v>310</v>
      </c>
      <c r="C127" s="37">
        <f t="shared" si="2"/>
        <v>31147838395</v>
      </c>
      <c r="D127" s="1" t="s">
        <v>177</v>
      </c>
      <c r="E127" s="1">
        <v>401460324</v>
      </c>
      <c r="F127" s="1">
        <v>2101650996</v>
      </c>
      <c r="G127" s="1">
        <f>2042048003</f>
        <v>2042048003</v>
      </c>
      <c r="H127" s="1">
        <f>2341267534</f>
        <v>2341267534</v>
      </c>
      <c r="I127" s="1">
        <f>2914339673</f>
        <v>2914339673</v>
      </c>
      <c r="J127" s="33">
        <f>6340187044</f>
        <v>6340187044</v>
      </c>
      <c r="K127" s="1">
        <f>9836204365</f>
        <v>9836204365</v>
      </c>
      <c r="L127" s="1">
        <f>5170680456</f>
        <v>5170680456</v>
      </c>
    </row>
    <row r="128" spans="1:12" s="4" customFormat="1" ht="27.6" x14ac:dyDescent="0.3">
      <c r="A128" s="160"/>
      <c r="B128" s="22" t="s">
        <v>311</v>
      </c>
      <c r="C128" s="37">
        <f t="shared" si="2"/>
        <v>423606170</v>
      </c>
      <c r="D128" s="1" t="s">
        <v>177</v>
      </c>
      <c r="E128" s="1">
        <v>19100401</v>
      </c>
      <c r="F128" s="1">
        <v>14486734</v>
      </c>
      <c r="G128" s="1">
        <f>22145547</f>
        <v>22145547</v>
      </c>
      <c r="H128" s="1">
        <f>33718588</f>
        <v>33718588</v>
      </c>
      <c r="I128" s="1">
        <f>31414789</f>
        <v>31414789</v>
      </c>
      <c r="J128" s="33">
        <f>94510079</f>
        <v>94510079</v>
      </c>
      <c r="K128" s="1">
        <f>100109517</f>
        <v>100109517</v>
      </c>
      <c r="L128" s="1">
        <f>108120515</f>
        <v>108120515</v>
      </c>
    </row>
    <row r="129" spans="1:12" s="4" customFormat="1" x14ac:dyDescent="0.3">
      <c r="A129" s="160"/>
      <c r="B129" s="22" t="s">
        <v>312</v>
      </c>
      <c r="C129" s="37">
        <f t="shared" si="2"/>
        <v>4528654273</v>
      </c>
      <c r="D129" s="1" t="s">
        <v>177</v>
      </c>
      <c r="E129" s="1">
        <v>73073658</v>
      </c>
      <c r="F129" s="1">
        <v>139908647</v>
      </c>
      <c r="G129" s="1">
        <f>311704884</f>
        <v>311704884</v>
      </c>
      <c r="H129" s="1">
        <f>356404331</f>
        <v>356404331</v>
      </c>
      <c r="I129" s="1">
        <f>704840968</f>
        <v>704840968</v>
      </c>
      <c r="J129" s="33">
        <f>810807751</f>
        <v>810807751</v>
      </c>
      <c r="K129" s="1">
        <f>751802905</f>
        <v>751802905</v>
      </c>
      <c r="L129" s="1">
        <f>1380111129</f>
        <v>1380111129</v>
      </c>
    </row>
    <row r="130" spans="1:12" s="4" customFormat="1" x14ac:dyDescent="0.3">
      <c r="A130" s="160"/>
      <c r="B130" s="22" t="s">
        <v>194</v>
      </c>
      <c r="C130" s="37">
        <f t="shared" si="2"/>
        <v>1649619701</v>
      </c>
      <c r="D130" s="1" t="s">
        <v>177</v>
      </c>
      <c r="E130" s="1">
        <v>20095921</v>
      </c>
      <c r="F130" s="1">
        <v>145372748</v>
      </c>
      <c r="G130" s="1">
        <f>143208677</f>
        <v>143208677</v>
      </c>
      <c r="H130" s="1">
        <f>152679100</f>
        <v>152679100</v>
      </c>
      <c r="I130" s="1">
        <f>280170378</f>
        <v>280170378</v>
      </c>
      <c r="J130" s="33">
        <f>81114189</f>
        <v>81114189</v>
      </c>
      <c r="K130" s="1">
        <f>650394594</f>
        <v>650394594</v>
      </c>
      <c r="L130" s="1">
        <f>176584094</f>
        <v>176584094</v>
      </c>
    </row>
    <row r="131" spans="1:12" s="4" customFormat="1" ht="27.6" x14ac:dyDescent="0.3">
      <c r="A131" s="160"/>
      <c r="B131" s="38" t="s">
        <v>313</v>
      </c>
      <c r="C131" s="37">
        <f t="shared" si="2"/>
        <v>4334862952</v>
      </c>
      <c r="D131" s="1" t="s">
        <v>177</v>
      </c>
      <c r="E131" s="1">
        <v>15330916</v>
      </c>
      <c r="F131" s="1">
        <v>43476775</v>
      </c>
      <c r="G131" s="1">
        <f>68880996</f>
        <v>68880996</v>
      </c>
      <c r="H131" s="1">
        <f>90317151</f>
        <v>90317151</v>
      </c>
      <c r="I131" s="1">
        <f>3090164701</f>
        <v>3090164701</v>
      </c>
      <c r="J131" s="33">
        <f>277473259</f>
        <v>277473259</v>
      </c>
      <c r="K131" s="1">
        <f>540263426</f>
        <v>540263426</v>
      </c>
      <c r="L131" s="1">
        <f>208955728</f>
        <v>208955728</v>
      </c>
    </row>
    <row r="132" spans="1:12" s="4" customFormat="1" ht="27.6" x14ac:dyDescent="0.3">
      <c r="A132" s="160"/>
      <c r="B132" s="38" t="s">
        <v>314</v>
      </c>
      <c r="C132" s="37">
        <f t="shared" si="2"/>
        <v>13273111034</v>
      </c>
      <c r="D132" s="1" t="s">
        <v>177</v>
      </c>
      <c r="E132" s="1">
        <v>76102694</v>
      </c>
      <c r="F132" s="1">
        <v>643090206</v>
      </c>
      <c r="G132" s="1">
        <f>971177357</f>
        <v>971177357</v>
      </c>
      <c r="H132" s="1">
        <f>1247826095</f>
        <v>1247826095</v>
      </c>
      <c r="I132" s="1">
        <f>1386401360</f>
        <v>1386401360</v>
      </c>
      <c r="J132" s="33">
        <f>2842612795</f>
        <v>2842612795</v>
      </c>
      <c r="K132" s="1">
        <f>4886621713</f>
        <v>4886621713</v>
      </c>
      <c r="L132" s="1">
        <f>1219278814</f>
        <v>1219278814</v>
      </c>
    </row>
    <row r="133" spans="1:12" s="4" customFormat="1" x14ac:dyDescent="0.3">
      <c r="A133" s="160"/>
      <c r="B133" s="38" t="s">
        <v>315</v>
      </c>
      <c r="C133" s="37">
        <f t="shared" si="2"/>
        <v>1240504170</v>
      </c>
      <c r="D133" s="1" t="s">
        <v>177</v>
      </c>
      <c r="E133" s="1">
        <v>6536627</v>
      </c>
      <c r="F133" s="1">
        <v>21819430</v>
      </c>
      <c r="G133" s="1">
        <f>32982330</f>
        <v>32982330</v>
      </c>
      <c r="H133" s="1">
        <f>57915296</f>
        <v>57915296</v>
      </c>
      <c r="I133" s="1"/>
      <c r="J133" s="33">
        <f>523176015</f>
        <v>523176015</v>
      </c>
      <c r="K133" s="1">
        <f>527721961</f>
        <v>527721961</v>
      </c>
      <c r="L133" s="1">
        <v>70352511</v>
      </c>
    </row>
    <row r="134" spans="1:12" s="4" customFormat="1" x14ac:dyDescent="0.3">
      <c r="A134" s="160"/>
      <c r="B134" s="38" t="s">
        <v>316</v>
      </c>
      <c r="C134" s="37">
        <f t="shared" si="2"/>
        <v>34030476684</v>
      </c>
      <c r="D134" s="1" t="s">
        <v>177</v>
      </c>
      <c r="E134" s="1">
        <f>70740251+1995705</f>
        <v>72735956</v>
      </c>
      <c r="F134" s="1">
        <f>581415351+17981918</f>
        <v>599397269</v>
      </c>
      <c r="G134" s="1">
        <f>1929374424+340477839</f>
        <v>2269852263</v>
      </c>
      <c r="H134" s="1">
        <f>1657560230+414390058</f>
        <v>2071950288</v>
      </c>
      <c r="I134" s="1">
        <f>2471944253+65983963</f>
        <v>2537928216</v>
      </c>
      <c r="J134" s="33">
        <f>6917716808</f>
        <v>6917716808</v>
      </c>
      <c r="K134" s="1">
        <f>13589651951</f>
        <v>13589651951</v>
      </c>
      <c r="L134" s="1">
        <f>5971243933</f>
        <v>5971243933</v>
      </c>
    </row>
    <row r="135" spans="1:12" s="4" customFormat="1" x14ac:dyDescent="0.3">
      <c r="A135" s="160"/>
      <c r="B135" s="38" t="s">
        <v>317</v>
      </c>
      <c r="C135" s="37">
        <f t="shared" si="2"/>
        <v>17757104307</v>
      </c>
      <c r="D135" s="1" t="s">
        <v>177</v>
      </c>
      <c r="E135" s="1">
        <v>415247237</v>
      </c>
      <c r="F135" s="1">
        <v>543546859</v>
      </c>
      <c r="G135" s="1">
        <f>997759483</f>
        <v>997759483</v>
      </c>
      <c r="H135" s="1">
        <f>1594278280</f>
        <v>1594278280</v>
      </c>
      <c r="I135" s="1">
        <f>2599409779</f>
        <v>2599409779</v>
      </c>
      <c r="J135" s="33">
        <f>3977470081</f>
        <v>3977470081</v>
      </c>
      <c r="K135" s="1">
        <f>6445522204</f>
        <v>6445522204</v>
      </c>
      <c r="L135" s="1">
        <f>1183870384</f>
        <v>1183870384</v>
      </c>
    </row>
    <row r="136" spans="1:12" s="4" customFormat="1" x14ac:dyDescent="0.3">
      <c r="A136" s="160"/>
      <c r="B136" s="38" t="s">
        <v>318</v>
      </c>
      <c r="C136" s="37">
        <f t="shared" si="2"/>
        <v>2371785650</v>
      </c>
      <c r="D136" s="1" t="s">
        <v>177</v>
      </c>
      <c r="E136" s="1" t="s">
        <v>177</v>
      </c>
      <c r="F136" s="1">
        <v>50993651</v>
      </c>
      <c r="G136" s="1">
        <f>180889968</f>
        <v>180889968</v>
      </c>
      <c r="H136" s="1">
        <f>209182518</f>
        <v>209182518</v>
      </c>
      <c r="I136" s="1">
        <f>300023952</f>
        <v>300023952</v>
      </c>
      <c r="J136" s="33">
        <f>899157855</f>
        <v>899157855</v>
      </c>
      <c r="K136" s="1">
        <f>499728161</f>
        <v>499728161</v>
      </c>
      <c r="L136" s="1">
        <f>231809545</f>
        <v>231809545</v>
      </c>
    </row>
    <row r="137" spans="1:12" s="4" customFormat="1" x14ac:dyDescent="0.3">
      <c r="A137" s="160"/>
      <c r="B137" s="38" t="s">
        <v>319</v>
      </c>
      <c r="C137" s="37">
        <f t="shared" si="2"/>
        <v>716211242</v>
      </c>
      <c r="D137" s="1" t="s">
        <v>177</v>
      </c>
      <c r="E137" s="1" t="s">
        <v>177</v>
      </c>
      <c r="F137" s="1">
        <v>14717839</v>
      </c>
      <c r="G137" s="1">
        <f>46288776</f>
        <v>46288776</v>
      </c>
      <c r="H137" s="1">
        <f>50305228</f>
        <v>50305228</v>
      </c>
      <c r="I137" s="1">
        <f>72215283</f>
        <v>72215283</v>
      </c>
      <c r="J137" s="33">
        <f>257499579</f>
        <v>257499579</v>
      </c>
      <c r="K137" s="1">
        <f>211841914</f>
        <v>211841914</v>
      </c>
      <c r="L137" s="1">
        <v>63342623</v>
      </c>
    </row>
    <row r="138" spans="1:12" s="4" customFormat="1" x14ac:dyDescent="0.3">
      <c r="A138" s="160"/>
      <c r="B138" s="38" t="s">
        <v>320</v>
      </c>
      <c r="C138" s="37">
        <f t="shared" si="2"/>
        <v>618662382</v>
      </c>
      <c r="D138" s="1" t="s">
        <v>177</v>
      </c>
      <c r="E138" s="1" t="s">
        <v>177</v>
      </c>
      <c r="F138" s="1">
        <v>14501516</v>
      </c>
      <c r="G138" s="1">
        <f>43413271</f>
        <v>43413271</v>
      </c>
      <c r="H138" s="1">
        <f>55511124</f>
        <v>55511124</v>
      </c>
      <c r="I138" s="1">
        <f>70616172</f>
        <v>70616172</v>
      </c>
      <c r="J138" s="33">
        <f>249299217</f>
        <v>249299217</v>
      </c>
      <c r="K138" s="1">
        <f>113361294</f>
        <v>113361294</v>
      </c>
      <c r="L138" s="1">
        <f>71959788</f>
        <v>71959788</v>
      </c>
    </row>
    <row r="139" spans="1:12" s="4" customFormat="1" x14ac:dyDescent="0.3">
      <c r="A139" s="160"/>
      <c r="B139" s="38" t="s">
        <v>321</v>
      </c>
      <c r="C139" s="37">
        <f t="shared" si="2"/>
        <v>960099833</v>
      </c>
      <c r="D139" s="1" t="s">
        <v>177</v>
      </c>
      <c r="E139" s="1">
        <v>6683802</v>
      </c>
      <c r="F139" s="1">
        <v>22270109</v>
      </c>
      <c r="G139" s="1">
        <f>67079507</f>
        <v>67079507</v>
      </c>
      <c r="H139" s="1">
        <f>72340119</f>
        <v>72340119</v>
      </c>
      <c r="I139" s="1">
        <f>102441650</f>
        <v>102441650</v>
      </c>
      <c r="J139" s="33">
        <f>324259262</f>
        <v>324259262</v>
      </c>
      <c r="K139" s="1">
        <f>283949300</f>
        <v>283949300</v>
      </c>
      <c r="L139" s="1">
        <f>81076084</f>
        <v>81076084</v>
      </c>
    </row>
    <row r="140" spans="1:12" s="4" customFormat="1" x14ac:dyDescent="0.3">
      <c r="A140" s="160"/>
      <c r="B140" s="38" t="s">
        <v>322</v>
      </c>
      <c r="C140" s="37">
        <f t="shared" si="2"/>
        <v>10776772255</v>
      </c>
      <c r="D140" s="1" t="s">
        <v>177</v>
      </c>
      <c r="E140" s="1">
        <v>83277910</v>
      </c>
      <c r="F140" s="1">
        <v>194910731</v>
      </c>
      <c r="G140" s="1">
        <f>1068036182</f>
        <v>1068036182</v>
      </c>
      <c r="H140" s="1">
        <f>500951568</f>
        <v>500951568</v>
      </c>
      <c r="I140" s="1">
        <f>1165773753</f>
        <v>1165773753</v>
      </c>
      <c r="J140" s="33">
        <f>2357868540</f>
        <v>2357868540</v>
      </c>
      <c r="K140" s="1">
        <f>4824391681</f>
        <v>4824391681</v>
      </c>
      <c r="L140" s="1">
        <v>581561890</v>
      </c>
    </row>
    <row r="141" spans="1:12" s="4" customFormat="1" x14ac:dyDescent="0.3">
      <c r="A141" s="160"/>
      <c r="B141" s="38" t="s">
        <v>195</v>
      </c>
      <c r="C141" s="37">
        <f t="shared" si="2"/>
        <v>7140408403</v>
      </c>
      <c r="D141" s="1" t="s">
        <v>177</v>
      </c>
      <c r="E141" s="1">
        <v>31235508</v>
      </c>
      <c r="F141" s="1">
        <v>61261893</v>
      </c>
      <c r="G141" s="37">
        <f t="shared" ref="G141" si="3">SUM(H141:P141)</f>
        <v>3523955501</v>
      </c>
      <c r="H141" s="1">
        <f>217498865</f>
        <v>217498865</v>
      </c>
      <c r="I141" s="1">
        <f>253967685</f>
        <v>253967685</v>
      </c>
      <c r="J141" s="33">
        <f>1258912116</f>
        <v>1258912116</v>
      </c>
      <c r="K141" s="1">
        <f>1394424642</f>
        <v>1394424642</v>
      </c>
      <c r="L141" s="1">
        <v>399152193</v>
      </c>
    </row>
    <row r="142" spans="1:12" s="4" customFormat="1" ht="27.6" x14ac:dyDescent="0.3">
      <c r="A142" s="160"/>
      <c r="B142" s="38" t="s">
        <v>323</v>
      </c>
      <c r="C142" s="37">
        <f t="shared" si="2"/>
        <v>1379314015</v>
      </c>
      <c r="D142" s="1" t="s">
        <v>177</v>
      </c>
      <c r="E142" s="1">
        <v>16657909</v>
      </c>
      <c r="F142" s="1">
        <v>65435288</v>
      </c>
      <c r="G142" s="1">
        <f>103118348</f>
        <v>103118348</v>
      </c>
      <c r="H142" s="1">
        <f>100041557</f>
        <v>100041557</v>
      </c>
      <c r="I142" s="1">
        <f>147539576</f>
        <v>147539576</v>
      </c>
      <c r="J142" s="33">
        <f>443306778</f>
        <v>443306778</v>
      </c>
      <c r="K142" s="1">
        <f>503214559</f>
        <v>503214559</v>
      </c>
      <c r="L142" s="1" t="s">
        <v>177</v>
      </c>
    </row>
    <row r="143" spans="1:12" s="4" customFormat="1" x14ac:dyDescent="0.3">
      <c r="A143" s="160"/>
      <c r="B143" s="38" t="s">
        <v>527</v>
      </c>
      <c r="C143" s="37">
        <f t="shared" si="2"/>
        <v>14001802007</v>
      </c>
      <c r="D143" s="1" t="s">
        <v>177</v>
      </c>
      <c r="E143" s="1">
        <v>28755014</v>
      </c>
      <c r="F143" s="1">
        <v>856728375</v>
      </c>
      <c r="G143" s="1">
        <f>372718928</f>
        <v>372718928</v>
      </c>
      <c r="H143" s="1">
        <f>615138147</f>
        <v>615138147</v>
      </c>
      <c r="I143" s="1">
        <f>744835781</f>
        <v>744835781</v>
      </c>
      <c r="J143" s="33">
        <f>6895308633</f>
        <v>6895308633</v>
      </c>
      <c r="K143" s="1">
        <f>3010026408</f>
        <v>3010026408</v>
      </c>
      <c r="L143" s="1">
        <f>1478290721</f>
        <v>1478290721</v>
      </c>
    </row>
    <row r="144" spans="1:12" s="4" customFormat="1" ht="27.6" x14ac:dyDescent="0.3">
      <c r="A144" s="159" t="s">
        <v>21</v>
      </c>
      <c r="B144" s="22" t="s">
        <v>324</v>
      </c>
      <c r="C144" s="37">
        <f t="shared" si="2"/>
        <v>3472062664</v>
      </c>
      <c r="D144" s="1" t="s">
        <v>177</v>
      </c>
      <c r="E144" s="1" t="s">
        <v>177</v>
      </c>
      <c r="F144" s="1" t="s">
        <v>177</v>
      </c>
      <c r="G144" s="1">
        <f>236306678</f>
        <v>236306678</v>
      </c>
      <c r="H144" s="1">
        <f>150265241</f>
        <v>150265241</v>
      </c>
      <c r="I144" s="1">
        <f>480699371</f>
        <v>480699371</v>
      </c>
      <c r="J144" s="33">
        <f>567236247</f>
        <v>567236247</v>
      </c>
      <c r="K144" s="1">
        <f>2037555127</f>
        <v>2037555127</v>
      </c>
      <c r="L144" s="1"/>
    </row>
    <row r="145" spans="1:12" s="4" customFormat="1" x14ac:dyDescent="0.3">
      <c r="A145" s="160"/>
      <c r="B145" s="22" t="s">
        <v>325</v>
      </c>
      <c r="C145" s="37">
        <f t="shared" si="2"/>
        <v>14380787187</v>
      </c>
      <c r="D145" s="1" t="s">
        <v>177</v>
      </c>
      <c r="E145" s="1">
        <v>272165400</v>
      </c>
      <c r="F145" s="1">
        <v>310965400</v>
      </c>
      <c r="G145" s="1"/>
      <c r="H145" s="1">
        <f>676368531</f>
        <v>676368531</v>
      </c>
      <c r="I145" s="1">
        <f>1189292820+150000000</f>
        <v>1339292820</v>
      </c>
      <c r="J145" s="33">
        <f>1304002186</f>
        <v>1304002186</v>
      </c>
      <c r="K145" s="1">
        <f>1706874304+3500000000</f>
        <v>5206874304</v>
      </c>
      <c r="L145" s="1">
        <f>1425894789+3845223757</f>
        <v>5271118546</v>
      </c>
    </row>
    <row r="146" spans="1:12" s="4" customFormat="1" ht="69" x14ac:dyDescent="0.3">
      <c r="A146" s="160"/>
      <c r="B146" s="22" t="s">
        <v>326</v>
      </c>
      <c r="C146" s="37">
        <f t="shared" si="2"/>
        <v>183000000</v>
      </c>
      <c r="D146" s="1" t="s">
        <v>177</v>
      </c>
      <c r="E146" s="1" t="s">
        <v>177</v>
      </c>
      <c r="F146" s="1" t="s">
        <v>177</v>
      </c>
      <c r="G146" s="1" t="s">
        <v>177</v>
      </c>
      <c r="H146" s="1" t="s">
        <v>177</v>
      </c>
      <c r="I146" s="1" t="s">
        <v>177</v>
      </c>
      <c r="J146" s="1" t="s">
        <v>177</v>
      </c>
      <c r="K146" s="1" t="s">
        <v>177</v>
      </c>
      <c r="L146" s="1">
        <v>183000000</v>
      </c>
    </row>
    <row r="147" spans="1:12" s="4" customFormat="1" x14ac:dyDescent="0.3">
      <c r="A147" s="160"/>
      <c r="B147" s="86" t="s">
        <v>327</v>
      </c>
      <c r="C147" s="37">
        <f t="shared" si="2"/>
        <v>3830466178</v>
      </c>
      <c r="D147" s="1" t="s">
        <v>177</v>
      </c>
      <c r="E147" s="1" t="s">
        <v>177</v>
      </c>
      <c r="F147" s="1"/>
      <c r="G147" s="1">
        <f>229161070</f>
        <v>229161070</v>
      </c>
      <c r="H147" s="1">
        <f>404219051</f>
        <v>404219051</v>
      </c>
      <c r="I147" s="1">
        <f>420335443</f>
        <v>420335443</v>
      </c>
      <c r="J147" s="33">
        <f>662692890</f>
        <v>662692890</v>
      </c>
      <c r="K147" s="1">
        <f>2028057724</f>
        <v>2028057724</v>
      </c>
      <c r="L147" s="1">
        <v>86000000</v>
      </c>
    </row>
    <row r="148" spans="1:12" s="4" customFormat="1" ht="27.6" x14ac:dyDescent="0.3">
      <c r="A148" s="160"/>
      <c r="B148" s="22" t="s">
        <v>328</v>
      </c>
      <c r="C148" s="37">
        <f t="shared" si="2"/>
        <v>47258095931</v>
      </c>
      <c r="D148" s="1" t="s">
        <v>177</v>
      </c>
      <c r="E148" s="1" t="s">
        <v>177</v>
      </c>
      <c r="F148" s="1" t="s">
        <v>177</v>
      </c>
      <c r="G148" s="1">
        <f>4139762929</f>
        <v>4139762929</v>
      </c>
      <c r="H148" s="1">
        <f>1151740732</f>
        <v>1151740732</v>
      </c>
      <c r="I148" s="1">
        <f>4811259357</f>
        <v>4811259357</v>
      </c>
      <c r="J148" s="33">
        <f>15937918046</f>
        <v>15937918046</v>
      </c>
      <c r="K148" s="1">
        <f>21217414867</f>
        <v>21217414867</v>
      </c>
      <c r="L148" s="1"/>
    </row>
    <row r="149" spans="1:12" s="4" customFormat="1" x14ac:dyDescent="0.3">
      <c r="A149" s="160"/>
      <c r="B149" s="22" t="s">
        <v>329</v>
      </c>
      <c r="C149" s="37">
        <f t="shared" si="2"/>
        <v>2864556513</v>
      </c>
      <c r="D149" s="1" t="s">
        <v>177</v>
      </c>
      <c r="E149" s="1" t="s">
        <v>177</v>
      </c>
      <c r="F149" s="1">
        <v>122736611</v>
      </c>
      <c r="G149" s="1">
        <f>321418096</f>
        <v>321418096</v>
      </c>
      <c r="H149" s="1">
        <f>422008760</f>
        <v>422008760</v>
      </c>
      <c r="I149" s="1">
        <f>258654254</f>
        <v>258654254</v>
      </c>
      <c r="J149" s="33">
        <f>500255746</f>
        <v>500255746</v>
      </c>
      <c r="K149" s="1">
        <f>1239483046</f>
        <v>1239483046</v>
      </c>
      <c r="L149" s="1"/>
    </row>
    <row r="150" spans="1:12" s="4" customFormat="1" x14ac:dyDescent="0.3">
      <c r="A150" s="160"/>
      <c r="B150" s="86" t="s">
        <v>330</v>
      </c>
      <c r="C150" s="37">
        <f t="shared" si="2"/>
        <v>60385892991</v>
      </c>
      <c r="D150" s="1" t="s">
        <v>177</v>
      </c>
      <c r="E150" s="1">
        <v>562838728</v>
      </c>
      <c r="F150" s="1"/>
      <c r="G150" s="1">
        <f>3331939916</f>
        <v>3331939916</v>
      </c>
      <c r="H150" s="1">
        <f>6640439868</f>
        <v>6640439868</v>
      </c>
      <c r="I150" s="1">
        <f>3752935718+4833714898</f>
        <v>8586650616</v>
      </c>
      <c r="J150" s="33">
        <f>4792443636+4151103517</f>
        <v>8943547153</v>
      </c>
      <c r="K150" s="1">
        <f>5964361972+5000144574</f>
        <v>10964506546</v>
      </c>
      <c r="L150" s="1">
        <f>10930390519+10425579645</f>
        <v>21355970164</v>
      </c>
    </row>
    <row r="151" spans="1:12" s="4" customFormat="1" ht="27.6" x14ac:dyDescent="0.3">
      <c r="A151" s="160"/>
      <c r="B151" s="22" t="s">
        <v>331</v>
      </c>
      <c r="C151" s="37">
        <f t="shared" si="2"/>
        <v>46279841377</v>
      </c>
      <c r="D151" s="1" t="s">
        <v>177</v>
      </c>
      <c r="E151" s="1" t="s">
        <v>177</v>
      </c>
      <c r="F151" s="1" t="s">
        <v>177</v>
      </c>
      <c r="G151" s="1" t="s">
        <v>177</v>
      </c>
      <c r="H151" s="1">
        <f>1293023321</f>
        <v>1293023321</v>
      </c>
      <c r="I151" s="1">
        <f>2960609048</f>
        <v>2960609048</v>
      </c>
      <c r="J151" s="33">
        <f>6504444533</f>
        <v>6504444533</v>
      </c>
      <c r="K151" s="1">
        <f>20268488730</f>
        <v>20268488730</v>
      </c>
      <c r="L151" s="1">
        <v>15253275745</v>
      </c>
    </row>
    <row r="152" spans="1:12" s="4" customFormat="1" ht="41.4" x14ac:dyDescent="0.3">
      <c r="A152" s="160"/>
      <c r="B152" s="22" t="s">
        <v>332</v>
      </c>
      <c r="C152" s="37">
        <f t="shared" si="2"/>
        <v>446588618</v>
      </c>
      <c r="D152" s="1" t="s">
        <v>177</v>
      </c>
      <c r="E152" s="1" t="s">
        <v>177</v>
      </c>
      <c r="F152" s="1" t="s">
        <v>177</v>
      </c>
      <c r="G152" s="1" t="s">
        <v>177</v>
      </c>
      <c r="H152" s="1" t="s">
        <v>177</v>
      </c>
      <c r="I152" s="1" t="s">
        <v>177</v>
      </c>
      <c r="J152" s="33">
        <v>294048728</v>
      </c>
      <c r="K152" s="1">
        <f>152539890</f>
        <v>152539890</v>
      </c>
      <c r="L152" s="1" t="s">
        <v>177</v>
      </c>
    </row>
    <row r="153" spans="1:12" s="4" customFormat="1" ht="27.6" x14ac:dyDescent="0.3">
      <c r="A153" s="160"/>
      <c r="B153" s="86" t="s">
        <v>334</v>
      </c>
      <c r="C153" s="37">
        <f t="shared" si="2"/>
        <v>2802731250</v>
      </c>
      <c r="D153" s="1" t="s">
        <v>177</v>
      </c>
      <c r="E153" s="1" t="s">
        <v>177</v>
      </c>
      <c r="F153" s="1">
        <v>134847533</v>
      </c>
      <c r="G153" s="1">
        <f>501996087</f>
        <v>501996087</v>
      </c>
      <c r="H153" s="1" t="s">
        <v>177</v>
      </c>
      <c r="I153" s="1">
        <f>363398448</f>
        <v>363398448</v>
      </c>
      <c r="J153" s="33">
        <f>559789182</f>
        <v>559789182</v>
      </c>
      <c r="K153" s="1">
        <f>406805797</f>
        <v>406805797</v>
      </c>
      <c r="L153" s="1">
        <v>835894203</v>
      </c>
    </row>
    <row r="154" spans="1:12" s="4" customFormat="1" ht="55.2" x14ac:dyDescent="0.3">
      <c r="A154" s="160"/>
      <c r="B154" s="22" t="s">
        <v>333</v>
      </c>
      <c r="C154" s="37">
        <f t="shared" si="2"/>
        <v>437261016</v>
      </c>
      <c r="D154" s="1" t="s">
        <v>177</v>
      </c>
      <c r="E154" s="1" t="s">
        <v>177</v>
      </c>
      <c r="F154" s="1" t="s">
        <v>177</v>
      </c>
      <c r="G154" s="1">
        <f>57358181</f>
        <v>57358181</v>
      </c>
      <c r="H154" s="1">
        <f>57358181</f>
        <v>57358181</v>
      </c>
      <c r="I154" s="1">
        <f>13296050</f>
        <v>13296050</v>
      </c>
      <c r="J154" s="33">
        <f>158248604</f>
        <v>158248604</v>
      </c>
      <c r="K154" s="1">
        <f>151000000</f>
        <v>151000000</v>
      </c>
      <c r="L154" s="1" t="s">
        <v>177</v>
      </c>
    </row>
    <row r="155" spans="1:12" s="4" customFormat="1" ht="27.6" x14ac:dyDescent="0.3">
      <c r="A155" s="160"/>
      <c r="B155" s="22" t="s">
        <v>335</v>
      </c>
      <c r="C155" s="37">
        <f t="shared" si="2"/>
        <v>200254879</v>
      </c>
      <c r="D155" s="1" t="s">
        <v>177</v>
      </c>
      <c r="E155" s="1" t="s">
        <v>177</v>
      </c>
      <c r="F155" s="1" t="s">
        <v>177</v>
      </c>
      <c r="G155" s="1" t="s">
        <v>177</v>
      </c>
      <c r="H155" s="1" t="s">
        <v>177</v>
      </c>
      <c r="I155" s="1" t="s">
        <v>177</v>
      </c>
      <c r="J155" s="33">
        <f>200254879</f>
        <v>200254879</v>
      </c>
      <c r="K155" s="1" t="s">
        <v>177</v>
      </c>
      <c r="L155" s="1" t="s">
        <v>177</v>
      </c>
    </row>
    <row r="156" spans="1:12" s="4" customFormat="1" ht="27.6" x14ac:dyDescent="0.3">
      <c r="A156" s="160"/>
      <c r="B156" s="22" t="s">
        <v>336</v>
      </c>
      <c r="C156" s="37">
        <f t="shared" si="2"/>
        <v>11671337473</v>
      </c>
      <c r="D156" s="1" t="s">
        <v>177</v>
      </c>
      <c r="E156" s="1" t="s">
        <v>177</v>
      </c>
      <c r="F156" s="1" t="s">
        <v>177</v>
      </c>
      <c r="G156" s="1">
        <f>241358233</f>
        <v>241358233</v>
      </c>
      <c r="H156" s="1">
        <f>1173576358</f>
        <v>1173576358</v>
      </c>
      <c r="I156" s="1">
        <f>1290420651</f>
        <v>1290420651</v>
      </c>
      <c r="J156" s="33">
        <f>3868590841</f>
        <v>3868590841</v>
      </c>
      <c r="K156" s="1">
        <f>4354391390</f>
        <v>4354391390</v>
      </c>
      <c r="L156" s="1">
        <f>743000000</f>
        <v>743000000</v>
      </c>
    </row>
    <row r="157" spans="1:12" s="4" customFormat="1" ht="27.6" x14ac:dyDescent="0.3">
      <c r="A157" s="160"/>
      <c r="B157" s="86" t="s">
        <v>337</v>
      </c>
      <c r="C157" s="37">
        <f t="shared" si="2"/>
        <v>2333873918</v>
      </c>
      <c r="D157" s="1">
        <v>37069700</v>
      </c>
      <c r="E157" s="1">
        <v>83312105</v>
      </c>
      <c r="F157" s="1" t="s">
        <v>177</v>
      </c>
      <c r="G157" s="1">
        <f>85312105</f>
        <v>85312105</v>
      </c>
      <c r="H157" s="1">
        <f>135297375</f>
        <v>135297375</v>
      </c>
      <c r="I157" s="1">
        <f>267751315</f>
        <v>267751315</v>
      </c>
      <c r="J157" s="33">
        <f>1076244711</f>
        <v>1076244711</v>
      </c>
      <c r="K157" s="1">
        <f>247631818</f>
        <v>247631818</v>
      </c>
      <c r="L157" s="1">
        <f>401254789</f>
        <v>401254789</v>
      </c>
    </row>
    <row r="158" spans="1:12" s="4" customFormat="1" ht="55.2" x14ac:dyDescent="0.3">
      <c r="A158" s="160"/>
      <c r="B158" s="22" t="s">
        <v>338</v>
      </c>
      <c r="C158" s="37">
        <f t="shared" si="2"/>
        <v>21625625602</v>
      </c>
      <c r="D158" s="1" t="s">
        <v>177</v>
      </c>
      <c r="E158" s="1">
        <v>300000000</v>
      </c>
      <c r="F158" s="1">
        <v>620021643</v>
      </c>
      <c r="G158" s="1">
        <f>422185254</f>
        <v>422185254</v>
      </c>
      <c r="H158" s="1">
        <f>574681922</f>
        <v>574681922</v>
      </c>
      <c r="I158" s="1">
        <f>377508610</f>
        <v>377508610</v>
      </c>
      <c r="J158" s="33">
        <f>360508927</f>
        <v>360508927</v>
      </c>
      <c r="K158" s="1">
        <f>2608497894</f>
        <v>2608497894</v>
      </c>
      <c r="L158" s="1">
        <f>16362221352</f>
        <v>16362221352</v>
      </c>
    </row>
    <row r="159" spans="1:12" s="4" customFormat="1" ht="41.4" x14ac:dyDescent="0.3">
      <c r="A159" s="160"/>
      <c r="B159" s="22" t="s">
        <v>339</v>
      </c>
      <c r="C159" s="37">
        <f t="shared" si="2"/>
        <v>29753427282</v>
      </c>
      <c r="D159" s="1" t="s">
        <v>177</v>
      </c>
      <c r="E159" s="1" t="s">
        <v>177</v>
      </c>
      <c r="F159" s="1">
        <v>1083134570</v>
      </c>
      <c r="G159" s="1">
        <f>1878254236</f>
        <v>1878254236</v>
      </c>
      <c r="H159" s="1">
        <f>1725524963</f>
        <v>1725524963</v>
      </c>
      <c r="I159" s="1">
        <f>2895310425</f>
        <v>2895310425</v>
      </c>
      <c r="J159" s="33">
        <f>6425903178</f>
        <v>6425903178</v>
      </c>
      <c r="K159" s="1">
        <f>9961162475</f>
        <v>9961162475</v>
      </c>
      <c r="L159" s="1">
        <f>5784137435</f>
        <v>5784137435</v>
      </c>
    </row>
    <row r="160" spans="1:12" s="4" customFormat="1" ht="41.4" x14ac:dyDescent="0.3">
      <c r="A160" s="160"/>
      <c r="B160" s="22" t="s">
        <v>340</v>
      </c>
      <c r="C160" s="37">
        <f t="shared" si="2"/>
        <v>397719908</v>
      </c>
      <c r="D160" s="1" t="s">
        <v>177</v>
      </c>
      <c r="E160" s="1" t="s">
        <v>177</v>
      </c>
      <c r="F160" s="1">
        <v>23632698</v>
      </c>
      <c r="G160" s="1">
        <f>42421700</f>
        <v>42421700</v>
      </c>
      <c r="H160" s="1">
        <f>66524384</f>
        <v>66524384</v>
      </c>
      <c r="I160" s="1">
        <f>68587254</f>
        <v>68587254</v>
      </c>
      <c r="J160" s="33">
        <f>144757335</f>
        <v>144757335</v>
      </c>
      <c r="K160" s="1">
        <f>36337752</f>
        <v>36337752</v>
      </c>
      <c r="L160" s="1">
        <f>15458785</f>
        <v>15458785</v>
      </c>
    </row>
    <row r="161" spans="1:12" s="4" customFormat="1" ht="27.6" x14ac:dyDescent="0.3">
      <c r="A161" s="160"/>
      <c r="B161" s="22" t="s">
        <v>341</v>
      </c>
      <c r="C161" s="37">
        <f t="shared" si="2"/>
        <v>49559582846</v>
      </c>
      <c r="D161" s="1">
        <v>2171821430</v>
      </c>
      <c r="E161" s="1" t="s">
        <v>177</v>
      </c>
      <c r="F161" s="1">
        <v>2410777847</v>
      </c>
      <c r="G161" s="1">
        <f>2387390274</f>
        <v>2387390274</v>
      </c>
      <c r="H161" s="1">
        <f>1183423557</f>
        <v>1183423557</v>
      </c>
      <c r="I161" s="1">
        <f>3723059352</f>
        <v>3723059352</v>
      </c>
      <c r="J161" s="33">
        <f>14576350852</f>
        <v>14576350852</v>
      </c>
      <c r="K161" s="1">
        <f>23106759534</f>
        <v>23106759534</v>
      </c>
      <c r="L161" s="1" t="s">
        <v>177</v>
      </c>
    </row>
    <row r="162" spans="1:12" s="4" customFormat="1" x14ac:dyDescent="0.3">
      <c r="A162" s="160"/>
      <c r="B162" s="86" t="s">
        <v>196</v>
      </c>
      <c r="C162" s="37">
        <f t="shared" si="2"/>
        <v>29546587</v>
      </c>
      <c r="D162" s="1"/>
      <c r="E162" s="1" t="s">
        <v>177</v>
      </c>
      <c r="F162" s="1" t="s">
        <v>177</v>
      </c>
      <c r="G162" s="1" t="s">
        <v>177</v>
      </c>
      <c r="H162" s="1">
        <f>29546587</f>
        <v>29546587</v>
      </c>
      <c r="I162" s="1" t="s">
        <v>177</v>
      </c>
      <c r="J162" s="1" t="s">
        <v>177</v>
      </c>
      <c r="K162" s="1" t="s">
        <v>177</v>
      </c>
      <c r="L162" s="1" t="s">
        <v>177</v>
      </c>
    </row>
    <row r="163" spans="1:12" s="4" customFormat="1" ht="27.6" x14ac:dyDescent="0.3">
      <c r="A163" s="160"/>
      <c r="B163" s="22" t="s">
        <v>197</v>
      </c>
      <c r="C163" s="37">
        <f t="shared" si="2"/>
        <v>27486342903</v>
      </c>
      <c r="D163" s="1">
        <v>144147083</v>
      </c>
      <c r="E163" s="1" t="s">
        <v>177</v>
      </c>
      <c r="F163" s="1">
        <v>778520801</v>
      </c>
      <c r="G163" s="1">
        <f>593461632</f>
        <v>593461632</v>
      </c>
      <c r="H163" s="1">
        <f>504112596</f>
        <v>504112596</v>
      </c>
      <c r="I163" s="1">
        <f>627252886</f>
        <v>627252886</v>
      </c>
      <c r="J163" s="33">
        <f>5866043289</f>
        <v>5866043289</v>
      </c>
      <c r="K163" s="1">
        <f>10481575712</f>
        <v>10481575712</v>
      </c>
      <c r="L163" s="1">
        <f>8491228904</f>
        <v>8491228904</v>
      </c>
    </row>
    <row r="164" spans="1:12" s="4" customFormat="1" ht="27.6" x14ac:dyDescent="0.3">
      <c r="A164" s="160"/>
      <c r="B164" s="38" t="s">
        <v>198</v>
      </c>
      <c r="C164" s="37">
        <f t="shared" si="2"/>
        <v>1752486630</v>
      </c>
      <c r="D164" s="1">
        <v>40630243</v>
      </c>
      <c r="E164" s="1">
        <v>71630243</v>
      </c>
      <c r="F164" s="1">
        <v>81630243</v>
      </c>
      <c r="G164" s="1">
        <v>130630243</v>
      </c>
      <c r="H164" s="1">
        <f>130115307</f>
        <v>130115307</v>
      </c>
      <c r="I164" s="1">
        <f>191622560</f>
        <v>191622560</v>
      </c>
      <c r="J164" s="33">
        <f>311516871</f>
        <v>311516871</v>
      </c>
      <c r="K164" s="1">
        <f>366311854</f>
        <v>366311854</v>
      </c>
      <c r="L164" s="1">
        <f>428399066</f>
        <v>428399066</v>
      </c>
    </row>
    <row r="165" spans="1:12" s="4" customFormat="1" ht="27.6" x14ac:dyDescent="0.3">
      <c r="A165" s="160"/>
      <c r="B165" s="22" t="s">
        <v>342</v>
      </c>
      <c r="C165" s="37">
        <f t="shared" si="2"/>
        <v>3824429911</v>
      </c>
      <c r="D165" s="1">
        <v>61680300</v>
      </c>
      <c r="E165" s="1"/>
      <c r="F165" s="1">
        <v>120738699</v>
      </c>
      <c r="G165" s="1">
        <f>212559691</f>
        <v>212559691</v>
      </c>
      <c r="H165" s="1">
        <v>246407766</v>
      </c>
      <c r="I165" s="1">
        <f>494471080</f>
        <v>494471080</v>
      </c>
      <c r="J165" s="33">
        <f>827022461</f>
        <v>827022461</v>
      </c>
      <c r="K165" s="1">
        <f>1791314429</f>
        <v>1791314429</v>
      </c>
      <c r="L165" s="1">
        <v>70235485</v>
      </c>
    </row>
    <row r="166" spans="1:12" s="4" customFormat="1" ht="27.6" x14ac:dyDescent="0.3">
      <c r="A166" s="161"/>
      <c r="B166" s="22" t="s">
        <v>199</v>
      </c>
      <c r="C166" s="37">
        <f t="shared" si="2"/>
        <v>3642152460</v>
      </c>
      <c r="D166" s="1" t="s">
        <v>177</v>
      </c>
      <c r="E166" s="1">
        <v>229281115</v>
      </c>
      <c r="F166" s="1">
        <v>104911583</v>
      </c>
      <c r="G166" s="1">
        <f>G160</f>
        <v>42421700</v>
      </c>
      <c r="H166" s="1">
        <f>325097000</f>
        <v>325097000</v>
      </c>
      <c r="I166" s="1">
        <f>325097000</f>
        <v>325097000</v>
      </c>
      <c r="J166" s="33">
        <f>468659580</f>
        <v>468659580</v>
      </c>
      <c r="K166" s="1">
        <f>1596502948</f>
        <v>1596502948</v>
      </c>
      <c r="L166" s="1">
        <f>550181534</f>
        <v>550181534</v>
      </c>
    </row>
    <row r="167" spans="1:12" s="4" customFormat="1" x14ac:dyDescent="0.3">
      <c r="A167" s="159" t="s">
        <v>165</v>
      </c>
      <c r="B167" s="22" t="s">
        <v>343</v>
      </c>
      <c r="C167" s="37">
        <f t="shared" si="2"/>
        <v>47072826836</v>
      </c>
      <c r="D167" s="1" t="s">
        <v>177</v>
      </c>
      <c r="E167" s="1" t="s">
        <v>177</v>
      </c>
      <c r="F167" s="1">
        <v>2183277223</v>
      </c>
      <c r="G167" s="1">
        <f>56005073</f>
        <v>56005073</v>
      </c>
      <c r="H167" s="1">
        <f>6943540695</f>
        <v>6943540695</v>
      </c>
      <c r="I167" s="1">
        <f>8294120037</f>
        <v>8294120037</v>
      </c>
      <c r="J167" s="33">
        <f>7682930850</f>
        <v>7682930850</v>
      </c>
      <c r="K167" s="1">
        <f>16912952958</f>
        <v>16912952958</v>
      </c>
      <c r="L167" s="1">
        <f>5000000000</f>
        <v>5000000000</v>
      </c>
    </row>
    <row r="168" spans="1:12" s="4" customFormat="1" ht="27.6" x14ac:dyDescent="0.3">
      <c r="A168" s="160"/>
      <c r="B168" s="22" t="s">
        <v>344</v>
      </c>
      <c r="C168" s="37">
        <f t="shared" si="2"/>
        <v>7450044329</v>
      </c>
      <c r="D168" s="1" t="s">
        <v>177</v>
      </c>
      <c r="E168" s="1" t="s">
        <v>177</v>
      </c>
      <c r="F168" s="1">
        <v>364732004</v>
      </c>
      <c r="G168" s="1">
        <v>500000000</v>
      </c>
      <c r="H168" s="1">
        <f>552319813</f>
        <v>552319813</v>
      </c>
      <c r="I168" s="1">
        <f>1213152366</f>
        <v>1213152366</v>
      </c>
      <c r="J168" s="33">
        <f>2489457098</f>
        <v>2489457098</v>
      </c>
      <c r="K168" s="1">
        <f>2330383048</f>
        <v>2330383048</v>
      </c>
      <c r="L168" s="1"/>
    </row>
    <row r="169" spans="1:12" s="4" customFormat="1" ht="27.6" x14ac:dyDescent="0.3">
      <c r="A169" s="160"/>
      <c r="B169" s="22" t="s">
        <v>345</v>
      </c>
      <c r="C169" s="37">
        <f t="shared" si="2"/>
        <v>68566182295</v>
      </c>
      <c r="D169" s="1" t="s">
        <v>177</v>
      </c>
      <c r="E169" s="1" t="s">
        <v>177</v>
      </c>
      <c r="F169" s="1" t="s">
        <v>177</v>
      </c>
      <c r="G169" s="1">
        <v>766235061</v>
      </c>
      <c r="H169" s="1">
        <f>1833055259</f>
        <v>1833055259</v>
      </c>
      <c r="I169" s="1">
        <f>5331633628</f>
        <v>5331633628</v>
      </c>
      <c r="J169" s="33">
        <f>16955656341</f>
        <v>16955656341</v>
      </c>
      <c r="K169" s="1">
        <v>8679602006</v>
      </c>
      <c r="L169" s="1">
        <f>35000000000</f>
        <v>35000000000</v>
      </c>
    </row>
    <row r="170" spans="1:12" s="4" customFormat="1" x14ac:dyDescent="0.3">
      <c r="A170" s="160"/>
      <c r="B170" s="22" t="s">
        <v>346</v>
      </c>
      <c r="C170" s="37">
        <f t="shared" si="2"/>
        <v>24652194538</v>
      </c>
      <c r="D170" s="1" t="s">
        <v>177</v>
      </c>
      <c r="E170" s="1" t="s">
        <v>177</v>
      </c>
      <c r="F170" s="1" t="s">
        <v>177</v>
      </c>
      <c r="G170" s="1">
        <f>2004274271</f>
        <v>2004274271</v>
      </c>
      <c r="H170" s="1">
        <f>3204674436</f>
        <v>3204674436</v>
      </c>
      <c r="I170" s="1">
        <v>3173497652</v>
      </c>
      <c r="J170" s="33">
        <f>2243199266</f>
        <v>2243199266</v>
      </c>
      <c r="K170" s="1">
        <f>14026548913</f>
        <v>14026548913</v>
      </c>
      <c r="L170" s="1" t="s">
        <v>177</v>
      </c>
    </row>
    <row r="171" spans="1:12" s="4" customFormat="1" ht="27.6" x14ac:dyDescent="0.3">
      <c r="A171" s="160"/>
      <c r="B171" s="38" t="s">
        <v>347</v>
      </c>
      <c r="C171" s="37">
        <f t="shared" ref="C171:C219" si="4">SUM(D171:L171)</f>
        <v>2213357361</v>
      </c>
      <c r="D171" s="1" t="s">
        <v>177</v>
      </c>
      <c r="E171" s="1" t="s">
        <v>177</v>
      </c>
      <c r="F171" s="1" t="s">
        <v>177</v>
      </c>
      <c r="G171" s="1" t="s">
        <v>177</v>
      </c>
      <c r="H171" s="1">
        <f>407392480</f>
        <v>407392480</v>
      </c>
      <c r="I171" s="1">
        <f>451491220</f>
        <v>451491220</v>
      </c>
      <c r="J171" s="33">
        <f>473540591</f>
        <v>473540591</v>
      </c>
      <c r="K171" s="1">
        <f>880933070</f>
        <v>880933070</v>
      </c>
      <c r="L171" s="1" t="s">
        <v>177</v>
      </c>
    </row>
    <row r="172" spans="1:12" s="4" customFormat="1" ht="27.6" x14ac:dyDescent="0.3">
      <c r="A172" s="160"/>
      <c r="B172" s="38" t="s">
        <v>348</v>
      </c>
      <c r="C172" s="37">
        <f t="shared" si="4"/>
        <v>15178173325</v>
      </c>
      <c r="D172" s="1" t="s">
        <v>177</v>
      </c>
      <c r="E172" s="1" t="s">
        <v>177</v>
      </c>
      <c r="F172" s="1" t="s">
        <v>177</v>
      </c>
      <c r="G172" s="1" t="s">
        <v>177</v>
      </c>
      <c r="H172" s="1">
        <f>600011000</f>
        <v>600011000</v>
      </c>
      <c r="I172" s="1">
        <v>1510650116</v>
      </c>
      <c r="J172" s="33">
        <f>4187000000</f>
        <v>4187000000</v>
      </c>
      <c r="K172" s="1">
        <f>8880512209</f>
        <v>8880512209</v>
      </c>
      <c r="L172" s="1" t="s">
        <v>177</v>
      </c>
    </row>
    <row r="173" spans="1:12" s="4" customFormat="1" ht="27.6" x14ac:dyDescent="0.3">
      <c r="A173" s="160"/>
      <c r="B173" s="38" t="s">
        <v>200</v>
      </c>
      <c r="C173" s="37">
        <f t="shared" si="4"/>
        <v>40000000000</v>
      </c>
      <c r="D173" s="1" t="s">
        <v>177</v>
      </c>
      <c r="E173" s="1" t="s">
        <v>177</v>
      </c>
      <c r="F173" s="1" t="s">
        <v>177</v>
      </c>
      <c r="G173" s="1" t="s">
        <v>177</v>
      </c>
      <c r="H173" s="1" t="s">
        <v>177</v>
      </c>
      <c r="I173" s="1" t="s">
        <v>177</v>
      </c>
      <c r="J173" s="33">
        <f>20000000000</f>
        <v>20000000000</v>
      </c>
      <c r="K173" s="1">
        <f>20000000000</f>
        <v>20000000000</v>
      </c>
      <c r="L173" s="1" t="s">
        <v>177</v>
      </c>
    </row>
    <row r="174" spans="1:12" s="4" customFormat="1" x14ac:dyDescent="0.3">
      <c r="A174" s="160"/>
      <c r="B174" s="38" t="s">
        <v>201</v>
      </c>
      <c r="C174" s="37">
        <f t="shared" si="4"/>
        <v>2500450000</v>
      </c>
      <c r="D174" s="1" t="s">
        <v>177</v>
      </c>
      <c r="E174" s="1" t="s">
        <v>177</v>
      </c>
      <c r="F174" s="1" t="s">
        <v>177</v>
      </c>
      <c r="G174" s="1" t="s">
        <v>177</v>
      </c>
      <c r="H174" s="1" t="s">
        <v>177</v>
      </c>
      <c r="I174" s="1" t="s">
        <v>177</v>
      </c>
      <c r="J174" s="33">
        <f>1880180000</f>
        <v>1880180000</v>
      </c>
      <c r="K174" s="1">
        <f>620270000</f>
        <v>620270000</v>
      </c>
      <c r="L174" s="1" t="s">
        <v>177</v>
      </c>
    </row>
    <row r="175" spans="1:12" s="4" customFormat="1" x14ac:dyDescent="0.3">
      <c r="A175" s="160"/>
      <c r="B175" s="38" t="s">
        <v>202</v>
      </c>
      <c r="C175" s="37">
        <f t="shared" si="4"/>
        <v>2500450000</v>
      </c>
      <c r="D175" s="1" t="s">
        <v>177</v>
      </c>
      <c r="E175" s="1" t="s">
        <v>177</v>
      </c>
      <c r="F175" s="1" t="s">
        <v>177</v>
      </c>
      <c r="G175" s="1">
        <f>1100000000</f>
        <v>1100000000</v>
      </c>
      <c r="H175" s="1">
        <f>780180000</f>
        <v>780180000</v>
      </c>
      <c r="I175" s="1"/>
      <c r="J175" s="33"/>
      <c r="K175" s="1">
        <f>620270000</f>
        <v>620270000</v>
      </c>
      <c r="L175" s="1" t="s">
        <v>177</v>
      </c>
    </row>
    <row r="176" spans="1:12" s="4" customFormat="1" x14ac:dyDescent="0.3">
      <c r="A176" s="160"/>
      <c r="B176" s="38" t="s">
        <v>349</v>
      </c>
      <c r="C176" s="37">
        <f t="shared" si="4"/>
        <v>30000000000</v>
      </c>
      <c r="D176" s="1" t="s">
        <v>177</v>
      </c>
      <c r="E176" s="1" t="s">
        <v>177</v>
      </c>
      <c r="F176" s="1" t="s">
        <v>177</v>
      </c>
      <c r="G176" s="1"/>
      <c r="H176" s="1">
        <f>3000000000</f>
        <v>3000000000</v>
      </c>
      <c r="I176" s="1">
        <f>3000000000</f>
        <v>3000000000</v>
      </c>
      <c r="J176" s="33">
        <f>3000000000</f>
        <v>3000000000</v>
      </c>
      <c r="K176" s="1">
        <f>6000000000</f>
        <v>6000000000</v>
      </c>
      <c r="L176" s="1">
        <f>15000000000</f>
        <v>15000000000</v>
      </c>
    </row>
    <row r="177" spans="1:12" s="4" customFormat="1" x14ac:dyDescent="0.3">
      <c r="A177" s="160"/>
      <c r="B177" s="38" t="s">
        <v>350</v>
      </c>
      <c r="C177" s="37">
        <f t="shared" si="4"/>
        <v>10488054241</v>
      </c>
      <c r="D177" s="1" t="s">
        <v>177</v>
      </c>
      <c r="E177" s="1" t="s">
        <v>177</v>
      </c>
      <c r="F177" s="1" t="s">
        <v>177</v>
      </c>
      <c r="G177" s="1"/>
      <c r="H177" s="1">
        <f>873121513</f>
        <v>873121513</v>
      </c>
      <c r="I177" s="1">
        <f>873121513</f>
        <v>873121513</v>
      </c>
      <c r="J177" s="33">
        <f>3641474377</f>
        <v>3641474377</v>
      </c>
      <c r="K177" s="1">
        <f>5100336838</f>
        <v>5100336838</v>
      </c>
      <c r="L177" s="1"/>
    </row>
    <row r="178" spans="1:12" s="4" customFormat="1" x14ac:dyDescent="0.3">
      <c r="A178" s="160"/>
      <c r="B178" s="38" t="s">
        <v>351</v>
      </c>
      <c r="C178" s="37">
        <f t="shared" si="4"/>
        <v>58528376852</v>
      </c>
      <c r="D178" s="1" t="s">
        <v>177</v>
      </c>
      <c r="E178" s="1" t="s">
        <v>177</v>
      </c>
      <c r="F178" s="1">
        <v>800901160</v>
      </c>
      <c r="G178" s="1">
        <f>517624769</f>
        <v>517624769</v>
      </c>
      <c r="H178" s="1">
        <f>600000000</f>
        <v>600000000</v>
      </c>
      <c r="I178" s="1">
        <f>3560184270</f>
        <v>3560184270</v>
      </c>
      <c r="J178" s="33">
        <f>11907355751</f>
        <v>11907355751</v>
      </c>
      <c r="K178" s="1">
        <f>21142310902</f>
        <v>21142310902</v>
      </c>
      <c r="L178" s="1">
        <f>20000000000</f>
        <v>20000000000</v>
      </c>
    </row>
    <row r="179" spans="1:12" s="4" customFormat="1" ht="27.6" x14ac:dyDescent="0.3">
      <c r="A179" s="160"/>
      <c r="B179" s="38" t="s">
        <v>352</v>
      </c>
      <c r="C179" s="37">
        <f t="shared" si="4"/>
        <v>862672767</v>
      </c>
      <c r="D179" s="1" t="s">
        <v>177</v>
      </c>
      <c r="E179" s="1" t="s">
        <v>177</v>
      </c>
      <c r="F179" s="1">
        <v>150000000</v>
      </c>
      <c r="G179" s="1">
        <f>150000000</f>
        <v>150000000</v>
      </c>
      <c r="H179" s="1">
        <f>150000000</f>
        <v>150000000</v>
      </c>
      <c r="I179" s="1">
        <f>196387710</f>
        <v>196387710</v>
      </c>
      <c r="J179" s="33">
        <f>188945924</f>
        <v>188945924</v>
      </c>
      <c r="K179" s="1">
        <f>27339133</f>
        <v>27339133</v>
      </c>
      <c r="L179" s="1" t="s">
        <v>177</v>
      </c>
    </row>
    <row r="180" spans="1:12" s="4" customFormat="1" ht="27.6" x14ac:dyDescent="0.3">
      <c r="A180" s="160"/>
      <c r="B180" s="38" t="s">
        <v>353</v>
      </c>
      <c r="C180" s="37">
        <f t="shared" si="4"/>
        <v>871279346</v>
      </c>
      <c r="D180" s="1" t="s">
        <v>177</v>
      </c>
      <c r="E180" s="1" t="s">
        <v>177</v>
      </c>
      <c r="F180" s="1">
        <v>120000000</v>
      </c>
      <c r="G180" s="1">
        <f>120000000</f>
        <v>120000000</v>
      </c>
      <c r="H180" s="1">
        <f>120000000</f>
        <v>120000000</v>
      </c>
      <c r="I180" s="1">
        <f>207760987</f>
        <v>207760987</v>
      </c>
      <c r="J180" s="33">
        <f>181027932</f>
        <v>181027932</v>
      </c>
      <c r="K180" s="1">
        <f>122490427</f>
        <v>122490427</v>
      </c>
      <c r="L180" s="1" t="s">
        <v>177</v>
      </c>
    </row>
    <row r="181" spans="1:12" s="4" customFormat="1" ht="27.6" x14ac:dyDescent="0.3">
      <c r="A181" s="160"/>
      <c r="B181" s="38" t="s">
        <v>354</v>
      </c>
      <c r="C181" s="37">
        <f t="shared" si="4"/>
        <v>24740112912</v>
      </c>
      <c r="D181" s="1" t="s">
        <v>177</v>
      </c>
      <c r="E181" s="1" t="s">
        <v>177</v>
      </c>
      <c r="F181" s="1">
        <v>1876837213</v>
      </c>
      <c r="G181" s="1">
        <f>2554880000</f>
        <v>2554880000</v>
      </c>
      <c r="H181" s="1">
        <f>4000020400</f>
        <v>4000020400</v>
      </c>
      <c r="I181" s="1">
        <v>4564573425</v>
      </c>
      <c r="J181" s="33">
        <f>3371900937</f>
        <v>3371900937</v>
      </c>
      <c r="K181" s="1">
        <f>3371900937</f>
        <v>3371900937</v>
      </c>
      <c r="L181" s="1">
        <f>5000000000</f>
        <v>5000000000</v>
      </c>
    </row>
    <row r="182" spans="1:12" s="4" customFormat="1" ht="27.6" x14ac:dyDescent="0.3">
      <c r="A182" s="160"/>
      <c r="B182" s="38" t="s">
        <v>355</v>
      </c>
      <c r="C182" s="37">
        <f t="shared" si="4"/>
        <v>9886614018</v>
      </c>
      <c r="D182" s="1" t="s">
        <v>177</v>
      </c>
      <c r="E182" s="1" t="s">
        <v>177</v>
      </c>
      <c r="F182" s="1">
        <v>499666405</v>
      </c>
      <c r="G182" s="1">
        <f>345612446</f>
        <v>345612446</v>
      </c>
      <c r="H182" s="1">
        <f>518419163</f>
        <v>518419163</v>
      </c>
      <c r="I182" s="1">
        <f>333137618</f>
        <v>333137618</v>
      </c>
      <c r="J182" s="33">
        <f>3977326731</f>
        <v>3977326731</v>
      </c>
      <c r="K182" s="1">
        <f>4212451655</f>
        <v>4212451655</v>
      </c>
      <c r="L182" s="1" t="s">
        <v>177</v>
      </c>
    </row>
    <row r="183" spans="1:12" s="4" customFormat="1" x14ac:dyDescent="0.3">
      <c r="A183" s="159" t="s">
        <v>579</v>
      </c>
      <c r="B183" s="22" t="s">
        <v>356</v>
      </c>
      <c r="C183" s="37">
        <f t="shared" si="4"/>
        <v>1018727027</v>
      </c>
      <c r="D183" s="1" t="s">
        <v>177</v>
      </c>
      <c r="E183" s="1">
        <v>13105382</v>
      </c>
      <c r="F183" s="1">
        <v>19452696</v>
      </c>
      <c r="G183" s="1">
        <f>152924840</f>
        <v>152924840</v>
      </c>
      <c r="H183" s="1">
        <f>78425718</f>
        <v>78425718</v>
      </c>
      <c r="I183" s="1">
        <f>286434490</f>
        <v>286434490</v>
      </c>
      <c r="J183" s="33">
        <v>161006113</v>
      </c>
      <c r="K183" s="1">
        <f>307377788</f>
        <v>307377788</v>
      </c>
      <c r="L183" s="1" t="s">
        <v>177</v>
      </c>
    </row>
    <row r="184" spans="1:12" s="4" customFormat="1" x14ac:dyDescent="0.3">
      <c r="A184" s="160"/>
      <c r="B184" s="22" t="s">
        <v>357</v>
      </c>
      <c r="C184" s="37">
        <f t="shared" si="4"/>
        <v>995244635</v>
      </c>
      <c r="D184" s="1" t="s">
        <v>177</v>
      </c>
      <c r="E184" s="1">
        <v>37796518</v>
      </c>
      <c r="F184" s="1">
        <v>25035566</v>
      </c>
      <c r="G184" s="1">
        <f>201441702</f>
        <v>201441702</v>
      </c>
      <c r="H184" s="1">
        <f>77323276</f>
        <v>77323276</v>
      </c>
      <c r="I184" s="1">
        <f>269584042</f>
        <v>269584042</v>
      </c>
      <c r="J184" s="33">
        <f>98860059</f>
        <v>98860059</v>
      </c>
      <c r="K184" s="1">
        <f>232470696</f>
        <v>232470696</v>
      </c>
      <c r="L184" s="1">
        <f>52732776</f>
        <v>52732776</v>
      </c>
    </row>
    <row r="185" spans="1:12" s="4" customFormat="1" x14ac:dyDescent="0.3">
      <c r="A185" s="160"/>
      <c r="B185" s="22" t="s">
        <v>358</v>
      </c>
      <c r="C185" s="37">
        <f t="shared" si="4"/>
        <v>950247839</v>
      </c>
      <c r="D185" s="1" t="s">
        <v>177</v>
      </c>
      <c r="E185" s="1">
        <v>26203198</v>
      </c>
      <c r="F185" s="1">
        <v>18345493</v>
      </c>
      <c r="G185" s="1">
        <f>83535681</f>
        <v>83535681</v>
      </c>
      <c r="H185" s="1">
        <f>25337307</f>
        <v>25337307</v>
      </c>
      <c r="I185" s="1">
        <f>178495422</f>
        <v>178495422</v>
      </c>
      <c r="J185" s="33">
        <f>346436500</f>
        <v>346436500</v>
      </c>
      <c r="K185" s="1">
        <f>271894238</f>
        <v>271894238</v>
      </c>
      <c r="L185" s="1" t="s">
        <v>177</v>
      </c>
    </row>
    <row r="186" spans="1:12" s="4" customFormat="1" ht="51.75" customHeight="1" x14ac:dyDescent="0.3">
      <c r="A186" s="160"/>
      <c r="B186" s="22" t="s">
        <v>359</v>
      </c>
      <c r="C186" s="37">
        <f t="shared" si="4"/>
        <v>451988007</v>
      </c>
      <c r="D186" s="1" t="s">
        <v>177</v>
      </c>
      <c r="E186" s="1" t="s">
        <v>177</v>
      </c>
      <c r="F186" s="5">
        <v>5013501</v>
      </c>
      <c r="G186" s="5">
        <f>69013444</f>
        <v>69013444</v>
      </c>
      <c r="H186" s="5">
        <f>39095822</f>
        <v>39095822</v>
      </c>
      <c r="I186" s="5">
        <v>118243743</v>
      </c>
      <c r="J186" s="36">
        <f>58241692</f>
        <v>58241692</v>
      </c>
      <c r="K186" s="5">
        <f>66887523</f>
        <v>66887523</v>
      </c>
      <c r="L186" s="5">
        <f>95492282</f>
        <v>95492282</v>
      </c>
    </row>
    <row r="187" spans="1:12" s="4" customFormat="1" ht="41.4" x14ac:dyDescent="0.3">
      <c r="A187" s="160"/>
      <c r="B187" s="22" t="s">
        <v>360</v>
      </c>
      <c r="C187" s="37">
        <f t="shared" si="4"/>
        <v>2401484474</v>
      </c>
      <c r="D187" s="1" t="s">
        <v>177</v>
      </c>
      <c r="E187" s="1" t="s">
        <v>177</v>
      </c>
      <c r="F187" s="1" t="s">
        <v>177</v>
      </c>
      <c r="G187" s="1">
        <f>238629445</f>
        <v>238629445</v>
      </c>
      <c r="H187" s="1">
        <f>58442265</f>
        <v>58442265</v>
      </c>
      <c r="I187" s="1">
        <f>1169438283</f>
        <v>1169438283</v>
      </c>
      <c r="J187" s="33">
        <f>339404301</f>
        <v>339404301</v>
      </c>
      <c r="K187" s="1">
        <f>226766152</f>
        <v>226766152</v>
      </c>
      <c r="L187" s="1">
        <f>368804028</f>
        <v>368804028</v>
      </c>
    </row>
    <row r="188" spans="1:12" s="4" customFormat="1" x14ac:dyDescent="0.3">
      <c r="A188" s="160"/>
      <c r="B188" s="45" t="s">
        <v>96</v>
      </c>
      <c r="C188" s="37">
        <f t="shared" si="4"/>
        <v>6504259</v>
      </c>
      <c r="D188" s="1" t="s">
        <v>177</v>
      </c>
      <c r="E188" s="1" t="s">
        <v>177</v>
      </c>
      <c r="F188" s="1" t="s">
        <v>177</v>
      </c>
      <c r="G188" s="1" t="s">
        <v>177</v>
      </c>
      <c r="H188" s="1">
        <f>6504259</f>
        <v>6504259</v>
      </c>
      <c r="I188" s="1"/>
      <c r="J188" s="33"/>
      <c r="K188" s="1"/>
      <c r="L188" s="1"/>
    </row>
    <row r="189" spans="1:12" s="4" customFormat="1" x14ac:dyDescent="0.3">
      <c r="A189" s="160"/>
      <c r="B189" s="38" t="s">
        <v>361</v>
      </c>
      <c r="C189" s="37">
        <f t="shared" si="4"/>
        <v>2188420825</v>
      </c>
      <c r="D189" s="1" t="s">
        <v>177</v>
      </c>
      <c r="E189" s="1" t="s">
        <v>177</v>
      </c>
      <c r="F189" s="1" t="s">
        <v>177</v>
      </c>
      <c r="G189" s="1" t="s">
        <v>177</v>
      </c>
      <c r="H189" s="1">
        <f>498298365</f>
        <v>498298365</v>
      </c>
      <c r="I189" s="1">
        <f>514916914</f>
        <v>514916914</v>
      </c>
      <c r="J189" s="33">
        <f>452304302</f>
        <v>452304302</v>
      </c>
      <c r="K189" s="1">
        <f>467103467</f>
        <v>467103467</v>
      </c>
      <c r="L189" s="1">
        <f>255797777</f>
        <v>255797777</v>
      </c>
    </row>
    <row r="190" spans="1:12" s="4" customFormat="1" x14ac:dyDescent="0.3">
      <c r="A190" s="160"/>
      <c r="B190" s="38" t="s">
        <v>362</v>
      </c>
      <c r="C190" s="37">
        <f t="shared" si="4"/>
        <v>671550803</v>
      </c>
      <c r="D190" s="1" t="s">
        <v>177</v>
      </c>
      <c r="E190" s="1" t="s">
        <v>177</v>
      </c>
      <c r="F190" s="1" t="s">
        <v>177</v>
      </c>
      <c r="G190" s="1" t="s">
        <v>177</v>
      </c>
      <c r="H190" s="1">
        <f>310767805</f>
        <v>310767805</v>
      </c>
      <c r="I190" s="1">
        <f>75734862</f>
        <v>75734862</v>
      </c>
      <c r="J190" s="33">
        <f>14165431</f>
        <v>14165431</v>
      </c>
      <c r="K190" s="1">
        <f>3325000</f>
        <v>3325000</v>
      </c>
      <c r="L190" s="1">
        <f>267557705</f>
        <v>267557705</v>
      </c>
    </row>
    <row r="191" spans="1:12" s="4" customFormat="1" x14ac:dyDescent="0.3">
      <c r="A191" s="160"/>
      <c r="B191" s="38" t="s">
        <v>363</v>
      </c>
      <c r="C191" s="37">
        <f t="shared" si="4"/>
        <v>144416741</v>
      </c>
      <c r="D191" s="1" t="s">
        <v>177</v>
      </c>
      <c r="E191" s="1" t="s">
        <v>177</v>
      </c>
      <c r="F191" s="1" t="s">
        <v>177</v>
      </c>
      <c r="G191" s="1" t="s">
        <v>177</v>
      </c>
      <c r="H191" s="1">
        <v>36076206</v>
      </c>
      <c r="I191" s="1">
        <f>26698206</f>
        <v>26698206</v>
      </c>
      <c r="J191" s="33"/>
      <c r="K191" s="1">
        <f>60149393</f>
        <v>60149393</v>
      </c>
      <c r="L191" s="1">
        <f>21492936</f>
        <v>21492936</v>
      </c>
    </row>
    <row r="192" spans="1:12" s="4" customFormat="1" x14ac:dyDescent="0.3">
      <c r="A192" s="160"/>
      <c r="B192" s="38" t="s">
        <v>364</v>
      </c>
      <c r="C192" s="37">
        <f t="shared" si="4"/>
        <v>773034759</v>
      </c>
      <c r="D192" s="1" t="s">
        <v>177</v>
      </c>
      <c r="E192" s="1" t="s">
        <v>177</v>
      </c>
      <c r="F192" s="1" t="s">
        <v>177</v>
      </c>
      <c r="G192" s="1" t="s">
        <v>177</v>
      </c>
      <c r="H192" s="1">
        <f>136185688</f>
        <v>136185688</v>
      </c>
      <c r="I192" s="1">
        <f>170428469</f>
        <v>170428469</v>
      </c>
      <c r="J192" s="33">
        <f>112003125</f>
        <v>112003125</v>
      </c>
      <c r="K192" s="1">
        <f>354417477</f>
        <v>354417477</v>
      </c>
      <c r="L192" s="1"/>
    </row>
    <row r="193" spans="1:12" s="4" customFormat="1" x14ac:dyDescent="0.3">
      <c r="A193" s="160"/>
      <c r="B193" s="38" t="s">
        <v>365</v>
      </c>
      <c r="C193" s="37">
        <f t="shared" si="4"/>
        <v>310990266</v>
      </c>
      <c r="D193" s="1" t="s">
        <v>177</v>
      </c>
      <c r="E193" s="1" t="s">
        <v>177</v>
      </c>
      <c r="F193" s="1" t="s">
        <v>177</v>
      </c>
      <c r="G193" s="1" t="s">
        <v>177</v>
      </c>
      <c r="H193" s="1">
        <f>310990266</f>
        <v>310990266</v>
      </c>
      <c r="I193" s="1" t="s">
        <v>177</v>
      </c>
      <c r="J193" s="1" t="s">
        <v>177</v>
      </c>
      <c r="K193" s="1" t="s">
        <v>177</v>
      </c>
      <c r="L193" s="1" t="s">
        <v>177</v>
      </c>
    </row>
    <row r="194" spans="1:12" s="4" customFormat="1" x14ac:dyDescent="0.3">
      <c r="A194" s="160"/>
      <c r="B194" s="38" t="s">
        <v>366</v>
      </c>
      <c r="C194" s="37">
        <f t="shared" si="4"/>
        <v>601800648</v>
      </c>
      <c r="D194" s="1" t="s">
        <v>177</v>
      </c>
      <c r="E194" s="1" t="s">
        <v>177</v>
      </c>
      <c r="F194" s="1" t="s">
        <v>177</v>
      </c>
      <c r="G194" s="1">
        <f>476200483</f>
        <v>476200483</v>
      </c>
      <c r="H194" s="1">
        <f>125600165</f>
        <v>125600165</v>
      </c>
      <c r="I194" s="1" t="s">
        <v>177</v>
      </c>
      <c r="J194" s="1" t="s">
        <v>177</v>
      </c>
      <c r="K194" s="1" t="s">
        <v>177</v>
      </c>
      <c r="L194" s="1" t="s">
        <v>177</v>
      </c>
    </row>
    <row r="195" spans="1:12" s="4" customFormat="1" ht="27.6" x14ac:dyDescent="0.3">
      <c r="A195" s="160"/>
      <c r="B195" s="38" t="s">
        <v>367</v>
      </c>
      <c r="C195" s="37">
        <f t="shared" si="4"/>
        <v>1238447540</v>
      </c>
      <c r="D195" s="1" t="s">
        <v>177</v>
      </c>
      <c r="E195" s="1" t="s">
        <v>177</v>
      </c>
      <c r="F195" s="1" t="s">
        <v>177</v>
      </c>
      <c r="G195" s="1"/>
      <c r="H195" s="1">
        <f>317734540</f>
        <v>317734540</v>
      </c>
      <c r="I195" s="1">
        <f>359855081</f>
        <v>359855081</v>
      </c>
      <c r="J195" s="33">
        <f>264558727</f>
        <v>264558727</v>
      </c>
      <c r="K195" s="1">
        <f>181809682</f>
        <v>181809682</v>
      </c>
      <c r="L195" s="1">
        <f>114489510</f>
        <v>114489510</v>
      </c>
    </row>
    <row r="196" spans="1:12" s="4" customFormat="1" ht="27.6" x14ac:dyDescent="0.3">
      <c r="A196" s="160"/>
      <c r="B196" s="38" t="s">
        <v>368</v>
      </c>
      <c r="C196" s="37">
        <f t="shared" si="4"/>
        <v>4274058930</v>
      </c>
      <c r="D196" s="1" t="s">
        <v>177</v>
      </c>
      <c r="E196" s="1" t="s">
        <v>177</v>
      </c>
      <c r="F196" s="1" t="s">
        <v>177</v>
      </c>
      <c r="G196" s="1">
        <f>992683085</f>
        <v>992683085</v>
      </c>
      <c r="H196" s="1">
        <f>405764295</f>
        <v>405764295</v>
      </c>
      <c r="I196" s="1">
        <f>818022727</f>
        <v>818022727</v>
      </c>
      <c r="J196" s="33">
        <f>1088516350</f>
        <v>1088516350</v>
      </c>
      <c r="K196" s="1">
        <f>969072473</f>
        <v>969072473</v>
      </c>
      <c r="L196" s="1"/>
    </row>
    <row r="197" spans="1:12" s="4" customFormat="1" x14ac:dyDescent="0.3">
      <c r="A197" s="160"/>
      <c r="B197" s="38" t="s">
        <v>369</v>
      </c>
      <c r="C197" s="37">
        <f t="shared" si="4"/>
        <v>782390973</v>
      </c>
      <c r="D197" s="1" t="s">
        <v>177</v>
      </c>
      <c r="E197" s="1" t="s">
        <v>177</v>
      </c>
      <c r="F197" s="1" t="s">
        <v>177</v>
      </c>
      <c r="G197" s="1" t="s">
        <v>177</v>
      </c>
      <c r="H197" s="1">
        <f>110716534</f>
        <v>110716534</v>
      </c>
      <c r="I197" s="1">
        <f>140058512</f>
        <v>140058512</v>
      </c>
      <c r="J197" s="33">
        <f>136244666</f>
        <v>136244666</v>
      </c>
      <c r="K197" s="1">
        <f>242605922</f>
        <v>242605922</v>
      </c>
      <c r="L197" s="1">
        <f>152765339</f>
        <v>152765339</v>
      </c>
    </row>
    <row r="198" spans="1:12" s="4" customFormat="1" ht="41.4" x14ac:dyDescent="0.3">
      <c r="A198" s="159" t="s">
        <v>580</v>
      </c>
      <c r="B198" s="22" t="s">
        <v>370</v>
      </c>
      <c r="C198" s="37">
        <f t="shared" si="4"/>
        <v>12939449930</v>
      </c>
      <c r="D198" s="1" t="s">
        <v>177</v>
      </c>
      <c r="E198" s="1" t="s">
        <v>177</v>
      </c>
      <c r="F198" s="1">
        <v>499902390</v>
      </c>
      <c r="G198" s="1">
        <f>648915236</f>
        <v>648915236</v>
      </c>
      <c r="H198" s="1">
        <f>249951195</f>
        <v>249951195</v>
      </c>
      <c r="I198" s="1">
        <f>1999494875</f>
        <v>1999494875</v>
      </c>
      <c r="J198" s="33">
        <f>3121844507</f>
        <v>3121844507</v>
      </c>
      <c r="K198" s="1">
        <f>2424680560</f>
        <v>2424680560</v>
      </c>
      <c r="L198" s="1">
        <f>3994661167</f>
        <v>3994661167</v>
      </c>
    </row>
    <row r="199" spans="1:12" s="4" customFormat="1" x14ac:dyDescent="0.3">
      <c r="A199" s="160"/>
      <c r="B199" s="22" t="s">
        <v>371</v>
      </c>
      <c r="C199" s="37">
        <f t="shared" si="4"/>
        <v>3023491849</v>
      </c>
      <c r="D199" s="1" t="s">
        <v>177</v>
      </c>
      <c r="E199" s="1" t="s">
        <v>177</v>
      </c>
      <c r="F199" s="1">
        <v>106240217</v>
      </c>
      <c r="G199" s="1">
        <f>206414483</f>
        <v>206414483</v>
      </c>
      <c r="H199" s="1">
        <f>53120109</f>
        <v>53120109</v>
      </c>
      <c r="I199" s="1">
        <f>744008771</f>
        <v>744008771</v>
      </c>
      <c r="J199" s="33">
        <f>704906292</f>
        <v>704906292</v>
      </c>
      <c r="K199" s="1">
        <f>824368631</f>
        <v>824368631</v>
      </c>
      <c r="L199" s="1">
        <f>384433346</f>
        <v>384433346</v>
      </c>
    </row>
    <row r="200" spans="1:12" s="4" customFormat="1" x14ac:dyDescent="0.3">
      <c r="A200" s="160"/>
      <c r="B200" s="22" t="s">
        <v>372</v>
      </c>
      <c r="C200" s="37">
        <f t="shared" si="4"/>
        <v>2568908599</v>
      </c>
      <c r="D200" s="1" t="s">
        <v>177</v>
      </c>
      <c r="E200" s="1" t="s">
        <v>177</v>
      </c>
      <c r="F200" s="1">
        <v>187421924</v>
      </c>
      <c r="G200" s="1">
        <f>226273407</f>
        <v>226273407</v>
      </c>
      <c r="H200" s="1">
        <f>93710962</f>
        <v>93710962</v>
      </c>
      <c r="I200" s="1">
        <f>715450082</f>
        <v>715450082</v>
      </c>
      <c r="J200" s="33">
        <v>367725171</v>
      </c>
      <c r="K200" s="1">
        <f>671193046</f>
        <v>671193046</v>
      </c>
      <c r="L200" s="1">
        <f>307134007</f>
        <v>307134007</v>
      </c>
    </row>
    <row r="201" spans="1:12" s="4" customFormat="1" ht="27.6" x14ac:dyDescent="0.3">
      <c r="A201" s="160"/>
      <c r="B201" s="22" t="s">
        <v>373</v>
      </c>
      <c r="C201" s="37">
        <f t="shared" si="4"/>
        <v>7852209363</v>
      </c>
      <c r="D201" s="1" t="s">
        <v>177</v>
      </c>
      <c r="E201" s="1" t="s">
        <v>177</v>
      </c>
      <c r="F201" s="1">
        <v>734158884</v>
      </c>
      <c r="G201" s="1">
        <v>773048901</v>
      </c>
      <c r="H201" s="1">
        <f>367079442</f>
        <v>367079442</v>
      </c>
      <c r="I201" s="1">
        <f>2783555437</f>
        <v>2783555437</v>
      </c>
      <c r="J201" s="1" t="s">
        <v>177</v>
      </c>
      <c r="K201" s="1">
        <f>1859231209</f>
        <v>1859231209</v>
      </c>
      <c r="L201" s="1">
        <f>1335135490</f>
        <v>1335135490</v>
      </c>
    </row>
    <row r="202" spans="1:12" s="4" customFormat="1" ht="27.6" x14ac:dyDescent="0.3">
      <c r="A202" s="159" t="s">
        <v>101</v>
      </c>
      <c r="B202" s="22" t="s">
        <v>203</v>
      </c>
      <c r="C202" s="37">
        <f t="shared" si="4"/>
        <v>74070850720</v>
      </c>
      <c r="D202" s="1" t="s">
        <v>177</v>
      </c>
      <c r="E202" s="1">
        <v>2370965768</v>
      </c>
      <c r="F202" s="1">
        <v>2286006586</v>
      </c>
      <c r="G202" s="1">
        <v>3455255138</v>
      </c>
      <c r="H202" s="1">
        <v>2606344419</v>
      </c>
      <c r="I202" s="1">
        <f>13833734412+45000000</f>
        <v>13878734412</v>
      </c>
      <c r="J202" s="33">
        <f>27818094324+106838480</f>
        <v>27924932804</v>
      </c>
      <c r="K202" s="1">
        <f>20017000000</f>
        <v>20017000000</v>
      </c>
      <c r="L202" s="1">
        <v>1531611593</v>
      </c>
    </row>
    <row r="203" spans="1:12" s="4" customFormat="1" ht="27.6" x14ac:dyDescent="0.3">
      <c r="A203" s="160"/>
      <c r="B203" s="38" t="s">
        <v>374</v>
      </c>
      <c r="C203" s="37">
        <f t="shared" si="4"/>
        <v>670676326</v>
      </c>
      <c r="D203" s="1" t="s">
        <v>177</v>
      </c>
      <c r="E203" s="1">
        <v>9189610</v>
      </c>
      <c r="F203" s="1">
        <v>31000000</v>
      </c>
      <c r="G203" s="1">
        <v>52527019</v>
      </c>
      <c r="H203" s="1">
        <v>32000000</v>
      </c>
      <c r="I203" s="1">
        <f>145959697</f>
        <v>145959697</v>
      </c>
      <c r="J203" s="33">
        <v>200000000</v>
      </c>
      <c r="K203" s="1">
        <f>200000000</f>
        <v>200000000</v>
      </c>
      <c r="L203" s="1" t="s">
        <v>177</v>
      </c>
    </row>
    <row r="204" spans="1:12" s="4" customFormat="1" ht="27.6" x14ac:dyDescent="0.3">
      <c r="A204" s="159" t="s">
        <v>29</v>
      </c>
      <c r="B204" s="22" t="s">
        <v>375</v>
      </c>
      <c r="C204" s="37">
        <f t="shared" si="4"/>
        <v>68823217343</v>
      </c>
      <c r="D204" s="1">
        <v>5501315411</v>
      </c>
      <c r="E204" s="1" t="s">
        <v>177</v>
      </c>
      <c r="F204" s="1" t="s">
        <v>177</v>
      </c>
      <c r="G204" s="1">
        <f>5802543255</f>
        <v>5802543255</v>
      </c>
      <c r="H204" s="1">
        <f>4261066213</f>
        <v>4261066213</v>
      </c>
      <c r="I204" s="1">
        <f>7323121016</f>
        <v>7323121016</v>
      </c>
      <c r="J204" s="33">
        <f>15050575467</f>
        <v>15050575467</v>
      </c>
      <c r="K204" s="1">
        <f>17151546658</f>
        <v>17151546658</v>
      </c>
      <c r="L204" s="1">
        <f>13733049323</f>
        <v>13733049323</v>
      </c>
    </row>
    <row r="205" spans="1:12" s="4" customFormat="1" ht="27.6" x14ac:dyDescent="0.3">
      <c r="A205" s="160"/>
      <c r="B205" s="22" t="s">
        <v>376</v>
      </c>
      <c r="C205" s="37">
        <f t="shared" si="4"/>
        <v>8715227980</v>
      </c>
      <c r="D205" s="1">
        <f>201341092+302011638</f>
        <v>503352730</v>
      </c>
      <c r="E205" s="1">
        <f>598225057+897337586</f>
        <v>1495562643</v>
      </c>
      <c r="F205" s="1" t="s">
        <v>177</v>
      </c>
      <c r="G205" s="1">
        <f>328026464+492039692</f>
        <v>820066156</v>
      </c>
      <c r="H205" s="1">
        <f>152533304+228799957</f>
        <v>381333261</v>
      </c>
      <c r="I205" s="1">
        <f>1239915107+359593666</f>
        <v>1599508773</v>
      </c>
      <c r="J205" s="33">
        <f>447035868+670553800</f>
        <v>1117589668</v>
      </c>
      <c r="K205" s="1">
        <f>772911547+1159367318</f>
        <v>1932278865</v>
      </c>
      <c r="L205" s="1">
        <f>346214354+519321530</f>
        <v>865535884</v>
      </c>
    </row>
    <row r="206" spans="1:12" s="4" customFormat="1" ht="27.6" x14ac:dyDescent="0.3">
      <c r="A206" s="160"/>
      <c r="B206" s="22" t="s">
        <v>377</v>
      </c>
      <c r="C206" s="37">
        <f t="shared" si="4"/>
        <v>6705717898</v>
      </c>
      <c r="D206" s="1">
        <f>174572243+407335235</f>
        <v>581907478</v>
      </c>
      <c r="E206" s="1">
        <f>30952405+72222278</f>
        <v>103174683</v>
      </c>
      <c r="F206" s="1">
        <v>180000000</v>
      </c>
      <c r="G206" s="1">
        <f>187786752+438169084</f>
        <v>625955836</v>
      </c>
      <c r="H206" s="1">
        <f>438060858+322141999</f>
        <v>760202857</v>
      </c>
      <c r="I206" s="1">
        <f>137445975+320707272</f>
        <v>458153247</v>
      </c>
      <c r="J206" s="33">
        <f>436061930+1017477837</f>
        <v>1453539767</v>
      </c>
      <c r="K206" s="1">
        <f>762835208+1779948822</f>
        <v>2542784030</v>
      </c>
      <c r="L206" s="1" t="s">
        <v>177</v>
      </c>
    </row>
    <row r="207" spans="1:12" s="4" customFormat="1" ht="27.6" x14ac:dyDescent="0.3">
      <c r="A207" s="160"/>
      <c r="B207" s="22" t="s">
        <v>378</v>
      </c>
      <c r="C207" s="37">
        <f t="shared" si="4"/>
        <v>43079087923</v>
      </c>
      <c r="D207" s="1">
        <v>2135331261</v>
      </c>
      <c r="E207" s="1">
        <v>1351090261</v>
      </c>
      <c r="F207" s="1">
        <v>1984019786</v>
      </c>
      <c r="G207" s="1">
        <f>2336368032</f>
        <v>2336368032</v>
      </c>
      <c r="H207" s="1">
        <f>2058955273</f>
        <v>2058955273</v>
      </c>
      <c r="I207" s="1">
        <f>6237846563</f>
        <v>6237846563</v>
      </c>
      <c r="J207" s="33">
        <f>8926846126</f>
        <v>8926846126</v>
      </c>
      <c r="K207" s="1">
        <f>12409630621</f>
        <v>12409630621</v>
      </c>
      <c r="L207" s="1">
        <f>5639000000</f>
        <v>5639000000</v>
      </c>
    </row>
    <row r="208" spans="1:12" s="4" customFormat="1" ht="27.6" x14ac:dyDescent="0.3">
      <c r="A208" s="160"/>
      <c r="B208" s="22" t="s">
        <v>379</v>
      </c>
      <c r="C208" s="37">
        <f t="shared" si="4"/>
        <v>1078333230</v>
      </c>
      <c r="D208" s="1">
        <f>32334103+48501155</f>
        <v>80835258</v>
      </c>
      <c r="E208" s="1">
        <f>31328779+46993168</f>
        <v>78321947</v>
      </c>
      <c r="F208" s="1" t="s">
        <v>177</v>
      </c>
      <c r="G208" s="1">
        <f>48074536+72111800</f>
        <v>120186336</v>
      </c>
      <c r="H208" s="1">
        <f>32915159+49372735</f>
        <v>82287894</v>
      </c>
      <c r="I208" s="1">
        <f>18301086+27451625</f>
        <v>45752711</v>
      </c>
      <c r="J208" s="33">
        <f>109059797+163589691</f>
        <v>272649488</v>
      </c>
      <c r="K208" s="1">
        <f>159319840+238979756</f>
        <v>398299596</v>
      </c>
      <c r="L208" s="1" t="s">
        <v>177</v>
      </c>
    </row>
    <row r="209" spans="1:12" s="4" customFormat="1" ht="41.4" x14ac:dyDescent="0.3">
      <c r="A209" s="160"/>
      <c r="B209" s="22" t="s">
        <v>380</v>
      </c>
      <c r="C209" s="37">
        <f t="shared" si="4"/>
        <v>3247481243</v>
      </c>
      <c r="D209" s="1">
        <f>50645190+118172112</f>
        <v>168817302</v>
      </c>
      <c r="E209" s="1">
        <f>14347731+33478040</f>
        <v>47825771</v>
      </c>
      <c r="F209" s="1" t="s">
        <v>177</v>
      </c>
      <c r="G209" s="1">
        <f>44692080+104281516</f>
        <v>148973596</v>
      </c>
      <c r="H209" s="1">
        <f>51823985+120922628</f>
        <v>172746613</v>
      </c>
      <c r="I209" s="1">
        <f>46774086+109139531</f>
        <v>155913617</v>
      </c>
      <c r="J209" s="33">
        <f>72815993+169903985</f>
        <v>242719978</v>
      </c>
      <c r="K209" s="1">
        <f>272577913+636015132</f>
        <v>908593045</v>
      </c>
      <c r="L209" s="1">
        <f>194569817+1207321504</f>
        <v>1401891321</v>
      </c>
    </row>
    <row r="210" spans="1:12" s="4" customFormat="1" x14ac:dyDescent="0.3">
      <c r="A210" s="160"/>
      <c r="B210" s="86" t="s">
        <v>381</v>
      </c>
      <c r="C210" s="37">
        <f t="shared" si="4"/>
        <v>1490046570097</v>
      </c>
      <c r="D210" s="1">
        <f>2313334627+9253338508</f>
        <v>11566673135</v>
      </c>
      <c r="E210" s="1">
        <f>40564247052+2007614990</f>
        <v>42571862042</v>
      </c>
      <c r="F210" s="1">
        <f>41425914084+5454283119</f>
        <v>46880197203</v>
      </c>
      <c r="G210" s="1">
        <f>2768142064+51134911562</f>
        <v>53903053626</v>
      </c>
      <c r="H210" s="1">
        <f>2001098421+102942050382</f>
        <v>104943148803</v>
      </c>
      <c r="I210" s="1">
        <f>3251395311+239814212800</f>
        <v>243065608111</v>
      </c>
      <c r="J210" s="33">
        <f>7249256130+282088317639</f>
        <v>289337573769</v>
      </c>
      <c r="K210" s="1">
        <f>10672993543+142691974163</f>
        <v>153364967706</v>
      </c>
      <c r="L210" s="1">
        <f>3260000000+541153485702</f>
        <v>544413485702</v>
      </c>
    </row>
    <row r="211" spans="1:12" s="4" customFormat="1" ht="27.6" x14ac:dyDescent="0.3">
      <c r="A211" s="160"/>
      <c r="B211" s="22" t="s">
        <v>382</v>
      </c>
      <c r="C211" s="37">
        <f t="shared" si="4"/>
        <v>1654654967554</v>
      </c>
      <c r="D211" s="1">
        <v>157510325</v>
      </c>
      <c r="E211" s="1">
        <v>109963358239</v>
      </c>
      <c r="F211" s="1">
        <v>109937656696</v>
      </c>
      <c r="G211" s="1">
        <f>156527041+109937656696</f>
        <v>110094183737</v>
      </c>
      <c r="H211" s="1">
        <f>120736694+55062343304</f>
        <v>55183079998</v>
      </c>
      <c r="I211" s="1">
        <f>84300099+315000000000</f>
        <v>315084300099</v>
      </c>
      <c r="J211" s="33">
        <f>237251474+100000000000</f>
        <v>100237251474</v>
      </c>
      <c r="K211" s="1">
        <f>797487083</f>
        <v>797487083</v>
      </c>
      <c r="L211" s="1">
        <f>853200139903</f>
        <v>853200139903</v>
      </c>
    </row>
    <row r="212" spans="1:12" s="4" customFormat="1" ht="41.4" x14ac:dyDescent="0.3">
      <c r="A212" s="160"/>
      <c r="B212" s="22" t="s">
        <v>383</v>
      </c>
      <c r="C212" s="37">
        <f t="shared" si="4"/>
        <v>363053802</v>
      </c>
      <c r="D212" s="1">
        <f>11954023+27892720</f>
        <v>39846743</v>
      </c>
      <c r="E212" s="1">
        <f>3454155+8059695</f>
        <v>11513850</v>
      </c>
      <c r="F212" s="1" t="s">
        <v>177</v>
      </c>
      <c r="G212" s="1">
        <f>3780634+7076144</f>
        <v>10856778</v>
      </c>
      <c r="H212" s="1" t="s">
        <v>177</v>
      </c>
      <c r="I212" s="1">
        <f>12331277+28772979</f>
        <v>41104256</v>
      </c>
      <c r="J212" s="1" t="s">
        <v>177</v>
      </c>
      <c r="K212" s="1">
        <f>77919653+181812522</f>
        <v>259732175</v>
      </c>
      <c r="L212" s="1" t="s">
        <v>177</v>
      </c>
    </row>
    <row r="213" spans="1:12" s="4" customFormat="1" x14ac:dyDescent="0.3">
      <c r="A213" s="160"/>
      <c r="B213" s="22" t="s">
        <v>204</v>
      </c>
      <c r="C213" s="37">
        <f t="shared" si="4"/>
        <v>1694056508</v>
      </c>
      <c r="D213" s="1">
        <v>481441406</v>
      </c>
      <c r="E213" s="1">
        <v>52023273</v>
      </c>
      <c r="F213" s="1" t="s">
        <v>177</v>
      </c>
      <c r="G213" s="1">
        <f>53873004</f>
        <v>53873004</v>
      </c>
      <c r="H213" s="1" t="s">
        <v>177</v>
      </c>
      <c r="I213" s="1">
        <f>6772562</f>
        <v>6772562</v>
      </c>
      <c r="J213" s="33">
        <f>129314692</f>
        <v>129314692</v>
      </c>
      <c r="K213" s="1">
        <f>880631571</f>
        <v>880631571</v>
      </c>
      <c r="L213" s="1">
        <f>90000000</f>
        <v>90000000</v>
      </c>
    </row>
    <row r="214" spans="1:12" s="4" customFormat="1" ht="55.2" x14ac:dyDescent="0.3">
      <c r="A214" s="160"/>
      <c r="B214" s="22" t="s">
        <v>384</v>
      </c>
      <c r="C214" s="37">
        <f t="shared" si="4"/>
        <v>481715075</v>
      </c>
      <c r="D214" s="1">
        <v>24762716</v>
      </c>
      <c r="E214" s="1">
        <v>6003963</v>
      </c>
      <c r="F214" s="1">
        <v>5849058</v>
      </c>
      <c r="G214" s="1">
        <f>31632099</f>
        <v>31632099</v>
      </c>
      <c r="H214" s="1">
        <f>56520141</f>
        <v>56520141</v>
      </c>
      <c r="I214" s="1">
        <f>41384503</f>
        <v>41384503</v>
      </c>
      <c r="J214" s="33">
        <f>131131196</f>
        <v>131131196</v>
      </c>
      <c r="K214" s="1">
        <f>60431399</f>
        <v>60431399</v>
      </c>
      <c r="L214" s="1">
        <f>124000000</f>
        <v>124000000</v>
      </c>
    </row>
    <row r="215" spans="1:12" s="4" customFormat="1" ht="41.4" x14ac:dyDescent="0.3">
      <c r="A215" s="160"/>
      <c r="B215" s="22" t="s">
        <v>385</v>
      </c>
      <c r="C215" s="37">
        <f t="shared" si="4"/>
        <v>7968022616</v>
      </c>
      <c r="D215" s="1">
        <f>54014094+126032887</f>
        <v>180046981</v>
      </c>
      <c r="E215" s="1">
        <f>19359660+45172540</f>
        <v>64532200</v>
      </c>
      <c r="F215" s="1">
        <f>8591038+20045756</f>
        <v>28636794</v>
      </c>
      <c r="G215" s="1">
        <f>105262970+245613601</f>
        <v>350876571</v>
      </c>
      <c r="H215" s="1">
        <f>196022404+457385613</f>
        <v>653408017</v>
      </c>
      <c r="I215" s="1">
        <f>73176254+170744597</f>
        <v>243920851</v>
      </c>
      <c r="J215" s="33">
        <f>311813887+727565741</f>
        <v>1039379628</v>
      </c>
      <c r="K215" s="1">
        <f>361213492+842831482</f>
        <v>1204044974</v>
      </c>
      <c r="L215" s="1">
        <f>4063176600+140000000</f>
        <v>4203176600</v>
      </c>
    </row>
    <row r="216" spans="1:12" s="4" customFormat="1" ht="55.2" x14ac:dyDescent="0.3">
      <c r="A216" s="160"/>
      <c r="B216" s="22" t="s">
        <v>386</v>
      </c>
      <c r="C216" s="37">
        <f t="shared" si="4"/>
        <v>35688150</v>
      </c>
      <c r="D216" s="1">
        <v>8506174</v>
      </c>
      <c r="E216" s="1">
        <v>2035770</v>
      </c>
      <c r="F216" s="1" t="s">
        <v>177</v>
      </c>
      <c r="G216" s="1">
        <f>2579909</f>
        <v>2579909</v>
      </c>
      <c r="H216" s="1" t="s">
        <v>177</v>
      </c>
      <c r="I216" s="1">
        <f>3727492</f>
        <v>3727492</v>
      </c>
      <c r="J216" s="1" t="s">
        <v>177</v>
      </c>
      <c r="K216" s="1">
        <f>18838805</f>
        <v>18838805</v>
      </c>
      <c r="L216" s="1" t="s">
        <v>177</v>
      </c>
    </row>
    <row r="217" spans="1:12" s="4" customFormat="1" ht="27.6" x14ac:dyDescent="0.3">
      <c r="A217" s="160"/>
      <c r="B217" s="22" t="s">
        <v>387</v>
      </c>
      <c r="C217" s="37">
        <f t="shared" si="4"/>
        <v>2177338658</v>
      </c>
      <c r="D217" s="1">
        <v>103432437</v>
      </c>
      <c r="E217" s="1" t="s">
        <v>234</v>
      </c>
      <c r="F217" s="1" t="s">
        <v>177</v>
      </c>
      <c r="G217" s="1">
        <f>45186768</f>
        <v>45186768</v>
      </c>
      <c r="H217" s="1" t="s">
        <v>177</v>
      </c>
      <c r="I217" s="1">
        <f>379944210</f>
        <v>379944210</v>
      </c>
      <c r="J217" s="33">
        <f>346590894</f>
        <v>346590894</v>
      </c>
      <c r="K217" s="1">
        <f>801184349</f>
        <v>801184349</v>
      </c>
      <c r="L217" s="1">
        <f>501000000</f>
        <v>501000000</v>
      </c>
    </row>
    <row r="218" spans="1:12" s="4" customFormat="1" ht="41.4" x14ac:dyDescent="0.3">
      <c r="A218" s="160"/>
      <c r="B218" s="38" t="s">
        <v>388</v>
      </c>
      <c r="C218" s="37">
        <f t="shared" si="4"/>
        <v>7615364661</v>
      </c>
      <c r="D218" s="1">
        <f>88065396+205485925</f>
        <v>293551321</v>
      </c>
      <c r="E218" s="1">
        <f>50618145+118109007</f>
        <v>168727152</v>
      </c>
      <c r="F218" s="1">
        <f>50302143+117371668</f>
        <v>167673811</v>
      </c>
      <c r="G218" s="1">
        <f>287889008+284407686</f>
        <v>572296694</v>
      </c>
      <c r="H218" s="1">
        <f>381774701+168168885</f>
        <v>549943586</v>
      </c>
      <c r="I218" s="1">
        <f>227209883+530156393</f>
        <v>757366276</v>
      </c>
      <c r="J218" s="33">
        <f>371347086+866476536</f>
        <v>1237823622</v>
      </c>
      <c r="K218" s="1">
        <f>1685241362+1187365025</f>
        <v>2872606387</v>
      </c>
      <c r="L218" s="1">
        <f>298612744+696763068</f>
        <v>995375812</v>
      </c>
    </row>
    <row r="219" spans="1:12" s="4" customFormat="1" ht="27.6" x14ac:dyDescent="0.3">
      <c r="A219" s="160"/>
      <c r="B219" s="38" t="s">
        <v>389</v>
      </c>
      <c r="C219" s="37">
        <f t="shared" si="4"/>
        <v>1239633814</v>
      </c>
      <c r="D219" s="1">
        <f>17899639+41765824</f>
        <v>59665463</v>
      </c>
      <c r="E219" s="1">
        <f>3318567+7743324</f>
        <v>11061891</v>
      </c>
      <c r="F219" s="1">
        <f>2938589+6856709</f>
        <v>9795298</v>
      </c>
      <c r="G219" s="1">
        <f>50361171+117509400</f>
        <v>167870571</v>
      </c>
      <c r="H219" s="1">
        <v>181120825</v>
      </c>
      <c r="I219" s="1">
        <f>15375544+35876269</f>
        <v>51251813</v>
      </c>
      <c r="J219" s="33">
        <f>22774882+53141393</f>
        <v>75916275</v>
      </c>
      <c r="K219" s="1">
        <f>195885503+457066175</f>
        <v>652951678</v>
      </c>
      <c r="L219" s="1">
        <f>9000000+21000000</f>
        <v>30000000</v>
      </c>
    </row>
    <row r="220" spans="1:12" s="4" customFormat="1" ht="27.6" x14ac:dyDescent="0.3">
      <c r="A220" s="160"/>
      <c r="B220" s="38" t="s">
        <v>390</v>
      </c>
      <c r="C220" s="37">
        <f t="shared" ref="C220:C278" si="5">SUM(D220:L220)</f>
        <v>24002751517</v>
      </c>
      <c r="D220" s="1"/>
      <c r="E220" s="1">
        <v>917425019</v>
      </c>
      <c r="F220" s="1">
        <v>1057409966</v>
      </c>
      <c r="G220" s="1">
        <f>2607894286</f>
        <v>2607894286</v>
      </c>
      <c r="H220" s="1">
        <f>1787614899</f>
        <v>1787614899</v>
      </c>
      <c r="I220" s="1">
        <f>1370241415</f>
        <v>1370241415</v>
      </c>
      <c r="J220" s="33">
        <f>2210352685</f>
        <v>2210352685</v>
      </c>
      <c r="K220" s="1">
        <f>8309018877</f>
        <v>8309018877</v>
      </c>
      <c r="L220" s="1">
        <f>5742794370</f>
        <v>5742794370</v>
      </c>
    </row>
    <row r="221" spans="1:12" s="4" customFormat="1" x14ac:dyDescent="0.3">
      <c r="A221" s="160"/>
      <c r="B221" s="38" t="s">
        <v>391</v>
      </c>
      <c r="C221" s="37">
        <f t="shared" si="5"/>
        <v>4785902067</v>
      </c>
      <c r="D221" s="1">
        <v>110741742</v>
      </c>
      <c r="E221" s="1">
        <v>58215065</v>
      </c>
      <c r="F221" s="1">
        <v>58215065</v>
      </c>
      <c r="G221" s="1">
        <f>111344055</f>
        <v>111344055</v>
      </c>
      <c r="H221" s="1">
        <f>115743973</f>
        <v>115743973</v>
      </c>
      <c r="I221" s="1">
        <f>144188594</f>
        <v>144188594</v>
      </c>
      <c r="J221" s="33">
        <f>307862806</f>
        <v>307862806</v>
      </c>
      <c r="K221" s="1">
        <f>530919875</f>
        <v>530919875</v>
      </c>
      <c r="L221" s="1">
        <f>859519963+2489150929</f>
        <v>3348670892</v>
      </c>
    </row>
    <row r="222" spans="1:12" s="4" customFormat="1" ht="27.6" x14ac:dyDescent="0.3">
      <c r="A222" s="160"/>
      <c r="B222" s="38" t="s">
        <v>525</v>
      </c>
      <c r="C222" s="37">
        <f t="shared" si="5"/>
        <v>23458555249</v>
      </c>
      <c r="D222" s="1">
        <v>375519996</v>
      </c>
      <c r="E222" s="1">
        <v>165770570</v>
      </c>
      <c r="F222" s="1">
        <v>165770570</v>
      </c>
      <c r="G222" s="1">
        <f>255582720</f>
        <v>255582720</v>
      </c>
      <c r="H222" s="1"/>
      <c r="I222" s="1">
        <f>154793493</f>
        <v>154793493</v>
      </c>
      <c r="J222" s="33">
        <f>677643469</f>
        <v>677643469</v>
      </c>
      <c r="K222" s="1">
        <f>1225474431</f>
        <v>1225474431</v>
      </c>
      <c r="L222" s="1">
        <f>438000000+20000000000</f>
        <v>20438000000</v>
      </c>
    </row>
    <row r="223" spans="1:12" s="4" customFormat="1" ht="27.6" x14ac:dyDescent="0.3">
      <c r="A223" s="161"/>
      <c r="B223" s="38" t="s">
        <v>526</v>
      </c>
      <c r="C223" s="37">
        <f t="shared" si="5"/>
        <v>564495604</v>
      </c>
      <c r="D223" s="1">
        <v>31590109</v>
      </c>
      <c r="E223" s="1">
        <v>16333810</v>
      </c>
      <c r="F223" s="1">
        <v>16333810</v>
      </c>
      <c r="G223" s="1">
        <f>49626370</f>
        <v>49626370</v>
      </c>
      <c r="H223" s="1">
        <f>21528948</f>
        <v>21528948</v>
      </c>
      <c r="I223" s="1">
        <f>55659906</f>
        <v>55659906</v>
      </c>
      <c r="J223" s="33">
        <f>164283273</f>
        <v>164283273</v>
      </c>
      <c r="K223" s="1">
        <f>166139378</f>
        <v>166139378</v>
      </c>
      <c r="L223" s="1">
        <f>43000000</f>
        <v>43000000</v>
      </c>
    </row>
    <row r="224" spans="1:12" s="4" customFormat="1" ht="55.2" x14ac:dyDescent="0.3">
      <c r="A224" s="159" t="s">
        <v>581</v>
      </c>
      <c r="B224" s="22" t="s">
        <v>392</v>
      </c>
      <c r="C224" s="37">
        <f t="shared" si="5"/>
        <v>3266427338</v>
      </c>
      <c r="D224" s="1" t="s">
        <v>177</v>
      </c>
      <c r="E224" s="1">
        <v>254343206</v>
      </c>
      <c r="F224" s="1">
        <v>161110218</v>
      </c>
      <c r="G224" s="1">
        <f>234686031</f>
        <v>234686031</v>
      </c>
      <c r="H224" s="1">
        <f>279367906</f>
        <v>279367906</v>
      </c>
      <c r="I224" s="1">
        <f>563688569</f>
        <v>563688569</v>
      </c>
      <c r="J224" s="33">
        <f>466661792</f>
        <v>466661792</v>
      </c>
      <c r="K224" s="1">
        <f>1262759597</f>
        <v>1262759597</v>
      </c>
      <c r="L224" s="1">
        <f>43810019</f>
        <v>43810019</v>
      </c>
    </row>
    <row r="225" spans="1:12" s="4" customFormat="1" ht="27.6" x14ac:dyDescent="0.3">
      <c r="A225" s="160"/>
      <c r="B225" s="22" t="s">
        <v>393</v>
      </c>
      <c r="C225" s="37">
        <f t="shared" si="5"/>
        <v>46421917695</v>
      </c>
      <c r="D225" s="1" t="s">
        <v>177</v>
      </c>
      <c r="E225" s="1">
        <v>4000039140</v>
      </c>
      <c r="F225" s="1">
        <v>1150374124</v>
      </c>
      <c r="G225" s="1">
        <f>5264141399</f>
        <v>5264141399</v>
      </c>
      <c r="H225" s="1">
        <f>4747990005</f>
        <v>4747990005</v>
      </c>
      <c r="I225" s="1">
        <f>6087706791</f>
        <v>6087706791</v>
      </c>
      <c r="J225" s="33">
        <f>7064051362</f>
        <v>7064051362</v>
      </c>
      <c r="K225" s="1">
        <f>16858962958</f>
        <v>16858962958</v>
      </c>
      <c r="L225" s="1">
        <f>1248651916</f>
        <v>1248651916</v>
      </c>
    </row>
    <row r="226" spans="1:12" s="4" customFormat="1" ht="27.6" x14ac:dyDescent="0.3">
      <c r="A226" s="160"/>
      <c r="B226" s="22" t="s">
        <v>394</v>
      </c>
      <c r="C226" s="37">
        <f t="shared" si="5"/>
        <v>4700637146</v>
      </c>
      <c r="D226" s="1" t="s">
        <v>177</v>
      </c>
      <c r="E226" s="1">
        <v>226787336</v>
      </c>
      <c r="F226" s="1" t="s">
        <v>177</v>
      </c>
      <c r="G226" s="1">
        <f>431541836</f>
        <v>431541836</v>
      </c>
      <c r="H226" s="1">
        <f>446880961</f>
        <v>446880961</v>
      </c>
      <c r="I226" s="1">
        <f>600701185</f>
        <v>600701185</v>
      </c>
      <c r="J226" s="33">
        <f>1064207332</f>
        <v>1064207332</v>
      </c>
      <c r="K226" s="1">
        <f>1068476505</f>
        <v>1068476505</v>
      </c>
      <c r="L226" s="1">
        <f>862041991</f>
        <v>862041991</v>
      </c>
    </row>
    <row r="227" spans="1:12" s="4" customFormat="1" ht="27.6" x14ac:dyDescent="0.3">
      <c r="A227" s="160"/>
      <c r="B227" s="22" t="s">
        <v>395</v>
      </c>
      <c r="C227" s="37">
        <f t="shared" si="5"/>
        <v>8767602801</v>
      </c>
      <c r="D227" s="1" t="s">
        <v>177</v>
      </c>
      <c r="E227" s="1" t="s">
        <v>177</v>
      </c>
      <c r="F227" s="1">
        <v>653199202</v>
      </c>
      <c r="G227" s="1">
        <v>546835163</v>
      </c>
      <c r="H227" s="1">
        <f>1268293421</f>
        <v>1268293421</v>
      </c>
      <c r="I227" s="1">
        <f>1307861015</f>
        <v>1307861015</v>
      </c>
      <c r="J227" s="33">
        <f>740975288</f>
        <v>740975288</v>
      </c>
      <c r="K227" s="1">
        <f>1882788331</f>
        <v>1882788331</v>
      </c>
      <c r="L227" s="1">
        <f>2367650381</f>
        <v>2367650381</v>
      </c>
    </row>
    <row r="228" spans="1:12" s="4" customFormat="1" ht="27.6" x14ac:dyDescent="0.3">
      <c r="A228" s="160"/>
      <c r="B228" s="22" t="s">
        <v>396</v>
      </c>
      <c r="C228" s="37">
        <f t="shared" si="5"/>
        <v>7357192191</v>
      </c>
      <c r="D228" s="1" t="s">
        <v>177</v>
      </c>
      <c r="E228" s="1">
        <v>165744986</v>
      </c>
      <c r="F228" s="1">
        <v>370146772</v>
      </c>
      <c r="G228" s="1">
        <f>549430740</f>
        <v>549430740</v>
      </c>
      <c r="H228" s="1">
        <f>508025604</f>
        <v>508025604</v>
      </c>
      <c r="I228" s="1">
        <f>903460663</f>
        <v>903460663</v>
      </c>
      <c r="J228" s="33">
        <f>1849663357</f>
        <v>1849663357</v>
      </c>
      <c r="K228" s="1">
        <f>1823284307</f>
        <v>1823284307</v>
      </c>
      <c r="L228" s="1">
        <f>1187435762</f>
        <v>1187435762</v>
      </c>
    </row>
    <row r="229" spans="1:12" s="4" customFormat="1" ht="27.6" x14ac:dyDescent="0.3">
      <c r="A229" s="160"/>
      <c r="B229" s="22" t="s">
        <v>397</v>
      </c>
      <c r="C229" s="37">
        <f t="shared" si="5"/>
        <v>4912293510</v>
      </c>
      <c r="D229" s="1" t="s">
        <v>177</v>
      </c>
      <c r="E229" s="1" t="s">
        <v>177</v>
      </c>
      <c r="F229" s="1">
        <v>94255742</v>
      </c>
      <c r="G229" s="1">
        <f>455923572</f>
        <v>455923572</v>
      </c>
      <c r="H229" s="1">
        <f>256488736</f>
        <v>256488736</v>
      </c>
      <c r="I229" s="1">
        <f>987765949</f>
        <v>987765949</v>
      </c>
      <c r="J229" s="33">
        <f>950323982</f>
        <v>950323982</v>
      </c>
      <c r="K229" s="1">
        <f>1546400961</f>
        <v>1546400961</v>
      </c>
      <c r="L229" s="1">
        <f>621134568</f>
        <v>621134568</v>
      </c>
    </row>
    <row r="230" spans="1:12" s="4" customFormat="1" ht="27.6" x14ac:dyDescent="0.3">
      <c r="A230" s="159" t="s">
        <v>582</v>
      </c>
      <c r="B230" s="86" t="s">
        <v>398</v>
      </c>
      <c r="C230" s="37">
        <f t="shared" si="5"/>
        <v>4855544501</v>
      </c>
      <c r="D230" s="1" t="s">
        <v>177</v>
      </c>
      <c r="E230" s="1" t="s">
        <v>177</v>
      </c>
      <c r="F230" s="1">
        <f>160117637+567689805</f>
        <v>727807442</v>
      </c>
      <c r="G230" s="1">
        <f>371622312</f>
        <v>371622312</v>
      </c>
      <c r="H230" s="1">
        <f>130308342+462002300</f>
        <v>592310642</v>
      </c>
      <c r="I230" s="1">
        <f>173941165+616700494</f>
        <v>790641659</v>
      </c>
      <c r="J230" s="33">
        <f>373392368+1323845671</f>
        <v>1697238039</v>
      </c>
      <c r="K230" s="1" t="s">
        <v>177</v>
      </c>
      <c r="L230" s="1">
        <f>148703370+527221037</f>
        <v>675924407</v>
      </c>
    </row>
    <row r="231" spans="1:12" s="4" customFormat="1" x14ac:dyDescent="0.3">
      <c r="A231" s="160"/>
      <c r="B231" s="22" t="s">
        <v>399</v>
      </c>
      <c r="C231" s="37">
        <f t="shared" si="5"/>
        <v>5779184262</v>
      </c>
      <c r="D231" s="1" t="s">
        <v>177</v>
      </c>
      <c r="E231" s="1" t="s">
        <v>177</v>
      </c>
      <c r="F231" s="1">
        <v>779608020</v>
      </c>
      <c r="G231" s="1">
        <f>760826340</f>
        <v>760826340</v>
      </c>
      <c r="H231" s="1">
        <f>567203074</f>
        <v>567203074</v>
      </c>
      <c r="I231" s="1">
        <f>996884943</f>
        <v>996884943</v>
      </c>
      <c r="J231" s="33">
        <f>2276661885</f>
        <v>2276661885</v>
      </c>
      <c r="K231" s="1" t="s">
        <v>177</v>
      </c>
      <c r="L231" s="1">
        <f>398000000</f>
        <v>398000000</v>
      </c>
    </row>
    <row r="232" spans="1:12" s="4" customFormat="1" ht="27.6" x14ac:dyDescent="0.3">
      <c r="A232" s="160"/>
      <c r="B232" s="22" t="s">
        <v>400</v>
      </c>
      <c r="C232" s="37">
        <f t="shared" si="5"/>
        <v>4241052696</v>
      </c>
      <c r="D232" s="1" t="s">
        <v>177</v>
      </c>
      <c r="E232" s="1" t="s">
        <v>177</v>
      </c>
      <c r="F232" s="1">
        <f>320170983+385797395</f>
        <v>705968378</v>
      </c>
      <c r="G232" s="1">
        <f>1353489611+235206915</f>
        <v>1588696526</v>
      </c>
      <c r="H232" s="1">
        <f>263504426+323074416</f>
        <v>586578842</v>
      </c>
      <c r="I232" s="1">
        <f>439827398+336485753</f>
        <v>776313151</v>
      </c>
      <c r="J232" s="33">
        <f>203495799</f>
        <v>203495799</v>
      </c>
      <c r="K232" s="1" t="s">
        <v>177</v>
      </c>
      <c r="L232" s="1">
        <f>179197706+200802294</f>
        <v>380000000</v>
      </c>
    </row>
    <row r="233" spans="1:12" s="4" customFormat="1" ht="41.4" x14ac:dyDescent="0.3">
      <c r="A233" s="159" t="s">
        <v>30</v>
      </c>
      <c r="B233" s="22" t="s">
        <v>401</v>
      </c>
      <c r="C233" s="37">
        <f t="shared" si="5"/>
        <v>80316597</v>
      </c>
      <c r="D233" s="1" t="s">
        <v>177</v>
      </c>
      <c r="E233" s="1" t="s">
        <v>177</v>
      </c>
      <c r="F233" s="1" t="s">
        <v>177</v>
      </c>
      <c r="G233" s="1" t="s">
        <v>177</v>
      </c>
      <c r="H233" s="1" t="s">
        <v>177</v>
      </c>
      <c r="I233" s="1" t="s">
        <v>177</v>
      </c>
      <c r="J233" s="33">
        <f>31047631</f>
        <v>31047631</v>
      </c>
      <c r="K233" s="1">
        <f>49268966</f>
        <v>49268966</v>
      </c>
      <c r="L233" s="1" t="s">
        <v>177</v>
      </c>
    </row>
    <row r="234" spans="1:12" s="4" customFormat="1" ht="27.6" x14ac:dyDescent="0.3">
      <c r="A234" s="160"/>
      <c r="B234" s="22" t="s">
        <v>402</v>
      </c>
      <c r="C234" s="37">
        <f t="shared" si="5"/>
        <v>2915268971</v>
      </c>
      <c r="D234" s="1" t="s">
        <v>177</v>
      </c>
      <c r="E234" s="1" t="s">
        <v>177</v>
      </c>
      <c r="F234" s="1">
        <v>472848023</v>
      </c>
      <c r="G234" s="1">
        <f>230526956</f>
        <v>230526956</v>
      </c>
      <c r="H234" s="1">
        <f>1647198756</f>
        <v>1647198756</v>
      </c>
      <c r="I234" s="1">
        <f>539709569</f>
        <v>539709569</v>
      </c>
      <c r="J234" s="1" t="s">
        <v>177</v>
      </c>
      <c r="K234" s="1">
        <f>24985667</f>
        <v>24985667</v>
      </c>
      <c r="L234" s="1" t="s">
        <v>177</v>
      </c>
    </row>
    <row r="235" spans="1:12" s="4" customFormat="1" ht="27.6" x14ac:dyDescent="0.3">
      <c r="A235" s="160"/>
      <c r="B235" s="38" t="s">
        <v>403</v>
      </c>
      <c r="C235" s="37">
        <f t="shared" si="5"/>
        <v>467118659767</v>
      </c>
      <c r="D235" s="1">
        <v>35948512361</v>
      </c>
      <c r="E235" s="1">
        <v>21718593767</v>
      </c>
      <c r="F235" s="1">
        <v>34767149961</v>
      </c>
      <c r="G235" s="1">
        <f>46605317976</f>
        <v>46605317976</v>
      </c>
      <c r="H235" s="1">
        <f>36642484999</f>
        <v>36642484999</v>
      </c>
      <c r="I235" s="1">
        <f>53315020190</f>
        <v>53315020190</v>
      </c>
      <c r="J235" s="33">
        <f>130006659903</f>
        <v>130006659903</v>
      </c>
      <c r="K235" s="1">
        <f>55273398101</f>
        <v>55273398101</v>
      </c>
      <c r="L235" s="1">
        <f>52841522509</f>
        <v>52841522509</v>
      </c>
    </row>
    <row r="236" spans="1:12" s="4" customFormat="1" ht="27.6" x14ac:dyDescent="0.3">
      <c r="A236" s="161"/>
      <c r="B236" s="38" t="s">
        <v>404</v>
      </c>
      <c r="C236" s="37">
        <f t="shared" si="5"/>
        <v>1538226004</v>
      </c>
      <c r="D236" s="1" t="s">
        <v>177</v>
      </c>
      <c r="E236" s="1" t="s">
        <v>177</v>
      </c>
      <c r="F236" s="1" t="s">
        <v>177</v>
      </c>
      <c r="G236" s="1">
        <f>104477994</f>
        <v>104477994</v>
      </c>
      <c r="H236" s="1">
        <f>128386051</f>
        <v>128386051</v>
      </c>
      <c r="I236" s="1">
        <f>286974021</f>
        <v>286974021</v>
      </c>
      <c r="J236" s="33">
        <f>330522655</f>
        <v>330522655</v>
      </c>
      <c r="K236" s="1">
        <f>522209563</f>
        <v>522209563</v>
      </c>
      <c r="L236" s="1">
        <f>165655720</f>
        <v>165655720</v>
      </c>
    </row>
    <row r="237" spans="1:12" s="4" customFormat="1" ht="27.6" x14ac:dyDescent="0.3">
      <c r="A237" s="159" t="s">
        <v>7</v>
      </c>
      <c r="B237" s="22" t="s">
        <v>405</v>
      </c>
      <c r="C237" s="37">
        <f t="shared" si="5"/>
        <v>5111543584</v>
      </c>
      <c r="D237" s="1" t="s">
        <v>177</v>
      </c>
      <c r="E237" s="1">
        <v>166946708</v>
      </c>
      <c r="F237" s="1">
        <v>425403781</v>
      </c>
      <c r="G237" s="1">
        <f>371492011</f>
        <v>371492011</v>
      </c>
      <c r="H237" s="1">
        <f>309955931</f>
        <v>309955931</v>
      </c>
      <c r="I237" s="1">
        <f>556820241</f>
        <v>556820241</v>
      </c>
      <c r="J237" s="33">
        <f>1137715775</f>
        <v>1137715775</v>
      </c>
      <c r="K237" s="1">
        <f>1435969691</f>
        <v>1435969691</v>
      </c>
      <c r="L237" s="34">
        <f>707239446</f>
        <v>707239446</v>
      </c>
    </row>
    <row r="238" spans="1:12" s="4" customFormat="1" ht="41.4" x14ac:dyDescent="0.3">
      <c r="A238" s="160"/>
      <c r="B238" s="22" t="s">
        <v>406</v>
      </c>
      <c r="C238" s="37">
        <f t="shared" si="5"/>
        <v>490438355</v>
      </c>
      <c r="D238" s="1" t="s">
        <v>177</v>
      </c>
      <c r="E238" s="1">
        <v>6022126</v>
      </c>
      <c r="F238" s="1">
        <v>21462861</v>
      </c>
      <c r="G238" s="1">
        <f>14030715</f>
        <v>14030715</v>
      </c>
      <c r="H238" s="1">
        <f>74021686</f>
        <v>74021686</v>
      </c>
      <c r="I238" s="1">
        <f>42963300</f>
        <v>42963300</v>
      </c>
      <c r="J238" s="33">
        <f>97313705</f>
        <v>97313705</v>
      </c>
      <c r="K238" s="1">
        <f>42442107</f>
        <v>42442107</v>
      </c>
      <c r="L238" s="1">
        <f>192181855</f>
        <v>192181855</v>
      </c>
    </row>
    <row r="239" spans="1:12" s="4" customFormat="1" ht="27.6" x14ac:dyDescent="0.3">
      <c r="A239" s="159" t="s">
        <v>31</v>
      </c>
      <c r="B239" s="22" t="s">
        <v>407</v>
      </c>
      <c r="C239" s="37">
        <f t="shared" si="5"/>
        <v>9533545385</v>
      </c>
      <c r="D239" s="1">
        <v>152383964</v>
      </c>
      <c r="E239" s="1">
        <v>112746025</v>
      </c>
      <c r="F239" s="1">
        <v>364264595</v>
      </c>
      <c r="G239" s="1">
        <f>869493001</f>
        <v>869493001</v>
      </c>
      <c r="H239" s="1">
        <f>563686579</f>
        <v>563686579</v>
      </c>
      <c r="I239" s="1">
        <f>921557834</f>
        <v>921557834</v>
      </c>
      <c r="J239" s="33">
        <f>1896347426</f>
        <v>1896347426</v>
      </c>
      <c r="K239" s="1">
        <f>2538061216</f>
        <v>2538061216</v>
      </c>
      <c r="L239" s="1">
        <f>2115004745</f>
        <v>2115004745</v>
      </c>
    </row>
    <row r="240" spans="1:12" s="4" customFormat="1" ht="27.6" x14ac:dyDescent="0.3">
      <c r="A240" s="160"/>
      <c r="B240" s="22" t="s">
        <v>408</v>
      </c>
      <c r="C240" s="37">
        <f t="shared" si="5"/>
        <v>4686191717</v>
      </c>
      <c r="D240" s="1">
        <v>44936525</v>
      </c>
      <c r="E240" s="1">
        <v>40260700</v>
      </c>
      <c r="F240" s="1">
        <v>66938060</v>
      </c>
      <c r="G240" s="1">
        <f>525784944</f>
        <v>525784944</v>
      </c>
      <c r="H240" s="1">
        <f>255344315</f>
        <v>255344315</v>
      </c>
      <c r="I240" s="1">
        <f>379514584</f>
        <v>379514584</v>
      </c>
      <c r="J240" s="33">
        <f>1340714417</f>
        <v>1340714417</v>
      </c>
      <c r="K240" s="1">
        <f>1436576127</f>
        <v>1436576127</v>
      </c>
      <c r="L240" s="1">
        <f>596122045</f>
        <v>596122045</v>
      </c>
    </row>
    <row r="241" spans="1:12" s="4" customFormat="1" ht="27.6" x14ac:dyDescent="0.3">
      <c r="A241" s="159" t="s">
        <v>50</v>
      </c>
      <c r="B241" s="22" t="s">
        <v>409</v>
      </c>
      <c r="C241" s="37">
        <f t="shared" si="5"/>
        <v>2474286985</v>
      </c>
      <c r="D241" s="1" t="s">
        <v>177</v>
      </c>
      <c r="E241" s="1">
        <v>190379383</v>
      </c>
      <c r="F241" s="1">
        <v>136191572</v>
      </c>
      <c r="G241" s="1">
        <f>237648912</f>
        <v>237648912</v>
      </c>
      <c r="H241" s="1">
        <f>211773239+31137127</f>
        <v>242910366</v>
      </c>
      <c r="I241" s="1">
        <f>266113331</f>
        <v>266113331</v>
      </c>
      <c r="J241" s="33">
        <f>370082195</f>
        <v>370082195</v>
      </c>
      <c r="K241" s="1">
        <f>503649904</f>
        <v>503649904</v>
      </c>
      <c r="L241" s="1">
        <f>527311322</f>
        <v>527311322</v>
      </c>
    </row>
    <row r="242" spans="1:12" s="4" customFormat="1" ht="27.6" x14ac:dyDescent="0.3">
      <c r="A242" s="160"/>
      <c r="B242" s="22" t="s">
        <v>410</v>
      </c>
      <c r="C242" s="37">
        <f t="shared" si="5"/>
        <v>2059361170</v>
      </c>
      <c r="D242" s="1" t="s">
        <v>177</v>
      </c>
      <c r="E242" s="1">
        <v>238496675</v>
      </c>
      <c r="F242" s="1">
        <v>238570145</v>
      </c>
      <c r="G242" s="1" t="s">
        <v>177</v>
      </c>
      <c r="H242" s="1">
        <f>357173777</f>
        <v>357173777</v>
      </c>
      <c r="I242" s="1">
        <f>150962432</f>
        <v>150962432</v>
      </c>
      <c r="J242" s="33">
        <f>318793126</f>
        <v>318793126</v>
      </c>
      <c r="K242" s="1">
        <f>572703529</f>
        <v>572703529</v>
      </c>
      <c r="L242" s="1">
        <f>182661486</f>
        <v>182661486</v>
      </c>
    </row>
    <row r="243" spans="1:12" s="4" customFormat="1" ht="27.6" x14ac:dyDescent="0.3">
      <c r="A243" s="160"/>
      <c r="B243" s="22" t="s">
        <v>411</v>
      </c>
      <c r="C243" s="37">
        <f t="shared" si="5"/>
        <v>2234006459</v>
      </c>
      <c r="D243" s="1" t="s">
        <v>177</v>
      </c>
      <c r="E243" s="1">
        <v>90165722</v>
      </c>
      <c r="F243" s="1">
        <v>132893100</v>
      </c>
      <c r="G243" s="1">
        <f>184470399</f>
        <v>184470399</v>
      </c>
      <c r="H243" s="1">
        <f>207842314</f>
        <v>207842314</v>
      </c>
      <c r="I243" s="1">
        <f>265691315</f>
        <v>265691315</v>
      </c>
      <c r="J243" s="33">
        <f>363116428</f>
        <v>363116428</v>
      </c>
      <c r="K243" s="1">
        <f>671991835</f>
        <v>671991835</v>
      </c>
      <c r="L243" s="1">
        <f>317835346</f>
        <v>317835346</v>
      </c>
    </row>
    <row r="244" spans="1:12" s="4" customFormat="1" ht="27.6" x14ac:dyDescent="0.3">
      <c r="A244" s="160"/>
      <c r="B244" s="22" t="s">
        <v>415</v>
      </c>
      <c r="C244" s="37">
        <f t="shared" si="5"/>
        <v>7720551293</v>
      </c>
      <c r="D244" s="1" t="s">
        <v>177</v>
      </c>
      <c r="E244" s="1">
        <v>113555258</v>
      </c>
      <c r="F244" s="1">
        <v>1191612259</v>
      </c>
      <c r="G244" s="1">
        <f>887726924</f>
        <v>887726924</v>
      </c>
      <c r="H244" s="1">
        <f>457396727</f>
        <v>457396727</v>
      </c>
      <c r="I244" s="1">
        <f>729657966</f>
        <v>729657966</v>
      </c>
      <c r="J244" s="33">
        <f>1348283719</f>
        <v>1348283719</v>
      </c>
      <c r="K244" s="1">
        <f>1887819957</f>
        <v>1887819957</v>
      </c>
      <c r="L244" s="1">
        <f>1104498483</f>
        <v>1104498483</v>
      </c>
    </row>
    <row r="245" spans="1:12" s="4" customFormat="1" x14ac:dyDescent="0.3">
      <c r="A245" s="160"/>
      <c r="B245" s="22" t="s">
        <v>412</v>
      </c>
      <c r="C245" s="37">
        <f t="shared" si="5"/>
        <v>20785391102</v>
      </c>
      <c r="D245" s="1" t="s">
        <v>177</v>
      </c>
      <c r="E245" s="1">
        <f>426799008+659737603</f>
        <v>1086536611</v>
      </c>
      <c r="F245" s="1">
        <v>1082873364</v>
      </c>
      <c r="G245" s="1">
        <f>2224859165+828192391</f>
        <v>3053051556</v>
      </c>
      <c r="H245" s="1">
        <f>498164111+846901277</f>
        <v>1345065388</v>
      </c>
      <c r="I245" s="1">
        <f>890054606+1280032943</f>
        <v>2170087549</v>
      </c>
      <c r="J245" s="33">
        <f>1070133615+1809391685</f>
        <v>2879525300</v>
      </c>
      <c r="K245" s="1">
        <f>2189480222+4217365328</f>
        <v>6406845550</v>
      </c>
      <c r="L245" s="1">
        <f>1371111314+1390294470</f>
        <v>2761405784</v>
      </c>
    </row>
    <row r="246" spans="1:12" s="4" customFormat="1" x14ac:dyDescent="0.3">
      <c r="A246" s="160"/>
      <c r="B246" s="22" t="s">
        <v>414</v>
      </c>
      <c r="C246" s="37">
        <f t="shared" si="5"/>
        <v>2361585376</v>
      </c>
      <c r="D246" s="1" t="s">
        <v>177</v>
      </c>
      <c r="E246" s="1">
        <v>27933611</v>
      </c>
      <c r="F246" s="1">
        <v>155582437</v>
      </c>
      <c r="G246" s="1">
        <f>331362772</f>
        <v>331362772</v>
      </c>
      <c r="H246" s="1">
        <f>255378925</f>
        <v>255378925</v>
      </c>
      <c r="I246" s="1">
        <f>270035598</f>
        <v>270035598</v>
      </c>
      <c r="J246" s="33">
        <f>398257251</f>
        <v>398257251</v>
      </c>
      <c r="K246" s="1">
        <f>512444116</f>
        <v>512444116</v>
      </c>
      <c r="L246" s="1">
        <f>410590666</f>
        <v>410590666</v>
      </c>
    </row>
    <row r="247" spans="1:12" s="4" customFormat="1" ht="27.6" x14ac:dyDescent="0.3">
      <c r="A247" s="160"/>
      <c r="B247" s="22" t="s">
        <v>413</v>
      </c>
      <c r="C247" s="37">
        <f t="shared" si="5"/>
        <v>1045732127</v>
      </c>
      <c r="D247" s="1" t="s">
        <v>177</v>
      </c>
      <c r="E247" s="1">
        <f>3662085+100000000</f>
        <v>103662085</v>
      </c>
      <c r="F247" s="1">
        <v>63084441</v>
      </c>
      <c r="G247" s="1">
        <f>27158271+121370000</f>
        <v>148528271</v>
      </c>
      <c r="H247" s="1">
        <f>23066467</f>
        <v>23066467</v>
      </c>
      <c r="I247" s="1">
        <f>214644130+153000000</f>
        <v>367644130</v>
      </c>
      <c r="J247" s="1" t="s">
        <v>177</v>
      </c>
      <c r="K247" s="1">
        <f>72012092</f>
        <v>72012092</v>
      </c>
      <c r="L247" s="1">
        <f>114734641+153000000</f>
        <v>267734641</v>
      </c>
    </row>
    <row r="248" spans="1:12" s="4" customFormat="1" ht="27.6" x14ac:dyDescent="0.3">
      <c r="A248" s="160"/>
      <c r="B248" s="22" t="s">
        <v>416</v>
      </c>
      <c r="C248" s="37">
        <f t="shared" si="5"/>
        <v>1805583916</v>
      </c>
      <c r="D248" s="1" t="s">
        <v>177</v>
      </c>
      <c r="E248" s="1" t="s">
        <v>177</v>
      </c>
      <c r="F248" s="1">
        <f>7526830+15637190</f>
        <v>23164020</v>
      </c>
      <c r="G248" s="1">
        <f>23988330+41856925</f>
        <v>65845255</v>
      </c>
      <c r="H248" s="1">
        <f>54841843+68195629</f>
        <v>123037472</v>
      </c>
      <c r="I248" s="1">
        <f>166548946+136156462</f>
        <v>302705408</v>
      </c>
      <c r="J248" s="33">
        <f>167546305+215842062</f>
        <v>383388367</v>
      </c>
      <c r="K248" s="1">
        <f>213623490+323658150</f>
        <v>537281640</v>
      </c>
      <c r="L248" s="1">
        <f>192703751+177458003</f>
        <v>370161754</v>
      </c>
    </row>
    <row r="249" spans="1:12" s="4" customFormat="1" ht="27.6" x14ac:dyDescent="0.3">
      <c r="A249" s="160"/>
      <c r="B249" s="22" t="s">
        <v>417</v>
      </c>
      <c r="C249" s="37">
        <f t="shared" si="5"/>
        <v>2829153634</v>
      </c>
      <c r="D249" s="1" t="s">
        <v>177</v>
      </c>
      <c r="E249" s="1">
        <f>36151308+12473049</f>
        <v>48624357</v>
      </c>
      <c r="F249" s="1" t="s">
        <v>177</v>
      </c>
      <c r="G249" s="1">
        <f>74722225+49814816</f>
        <v>124537041</v>
      </c>
      <c r="H249" s="1">
        <f>173548290+115698860</f>
        <v>289247150</v>
      </c>
      <c r="I249" s="1">
        <f>182493837+117655953</f>
        <v>300149790</v>
      </c>
      <c r="J249" s="33">
        <f>343269183+221548745</f>
        <v>564817928</v>
      </c>
      <c r="K249" s="1">
        <f>390846039+260564026</f>
        <v>651410065</v>
      </c>
      <c r="L249" s="1">
        <f>585004840+265362463</f>
        <v>850367303</v>
      </c>
    </row>
    <row r="250" spans="1:12" s="4" customFormat="1" ht="27.6" x14ac:dyDescent="0.3">
      <c r="A250" s="160"/>
      <c r="B250" s="38" t="s">
        <v>418</v>
      </c>
      <c r="C250" s="37">
        <f t="shared" si="5"/>
        <v>1626708278</v>
      </c>
      <c r="D250" s="1" t="s">
        <v>177</v>
      </c>
      <c r="E250" s="1" t="s">
        <v>177</v>
      </c>
      <c r="F250" s="1">
        <v>85947973</v>
      </c>
      <c r="G250" s="1" t="s">
        <v>177</v>
      </c>
      <c r="H250" s="1">
        <f>236427499</f>
        <v>236427499</v>
      </c>
      <c r="I250" s="1">
        <f>244037635</f>
        <v>244037635</v>
      </c>
      <c r="J250" s="33">
        <f>408823758</f>
        <v>408823758</v>
      </c>
      <c r="K250" s="1">
        <f>497203659</f>
        <v>497203659</v>
      </c>
      <c r="L250" s="1">
        <f>154267754</f>
        <v>154267754</v>
      </c>
    </row>
    <row r="251" spans="1:12" s="4" customFormat="1" ht="27.6" x14ac:dyDescent="0.3">
      <c r="A251" s="161"/>
      <c r="B251" s="38" t="s">
        <v>419</v>
      </c>
      <c r="C251" s="37">
        <f t="shared" si="5"/>
        <v>516941970</v>
      </c>
      <c r="D251" s="1" t="s">
        <v>177</v>
      </c>
      <c r="E251" s="1">
        <v>7022531</v>
      </c>
      <c r="F251" s="1" t="s">
        <v>177</v>
      </c>
      <c r="G251" s="1">
        <f>33249455</f>
        <v>33249455</v>
      </c>
      <c r="H251" s="1">
        <f>37725979</f>
        <v>37725979</v>
      </c>
      <c r="I251" s="1">
        <f>59197639</f>
        <v>59197639</v>
      </c>
      <c r="J251" s="33">
        <f>117546587</f>
        <v>117546587</v>
      </c>
      <c r="K251" s="1">
        <f>182369026</f>
        <v>182369026</v>
      </c>
      <c r="L251" s="1">
        <f>79830753</f>
        <v>79830753</v>
      </c>
    </row>
    <row r="252" spans="1:12" s="4" customFormat="1" ht="25.5" customHeight="1" x14ac:dyDescent="0.3">
      <c r="A252" s="159" t="s">
        <v>33</v>
      </c>
      <c r="B252" s="22" t="s">
        <v>205</v>
      </c>
      <c r="C252" s="37">
        <f t="shared" si="5"/>
        <v>86896500848</v>
      </c>
      <c r="D252" s="1">
        <v>1195018165</v>
      </c>
      <c r="E252" s="1">
        <v>18549777025</v>
      </c>
      <c r="F252" s="1"/>
      <c r="G252" s="1">
        <f>53028059+41920089+63405484+94412767+31389673+17782885+228528014+762990260+362612130+73078649+340266525+424354706+19619127+44311252+86837651+29274048+46699090+31461414+41943220+12756758+23088132+762449+7119114+13463191+53119536+34857916+65146330+25542908+691688558+451624154+445248793+101513446+77967424+143960100+119885000</f>
        <v>5061658852</v>
      </c>
      <c r="H252" s="1">
        <f>47463128+41461110+31781620+52026796+63198514+65261421+28252655+13282723+520244310+128884123+87596198+162739282+187780953+63628655+73670544+69710189+29189036+66243976+36105393+29631466+46109905+32253895+6167121+36420328+14633582+96397905+51539324+38169272+44232854+79727569+1586512693+242087448+76484641+32635401+607769897+83682703</f>
        <v>4872976630</v>
      </c>
      <c r="I252" s="1">
        <f>49027110+80246925+91245572+64780324+50151394+129850911+37216029+22514566+723120894+180437772+76144047+445970441+258889861+45303187+104709191+106128729+39835043+78393773+43363082+26713385+51791721+20480547+19226396+43195404+27365103+38039310+66498522+71388198+100814616+116645390+2201108974+392628016+118966891+45689546+2200178300+115608682</f>
        <v>8283667852</v>
      </c>
      <c r="J252" s="33">
        <f>113108738+138188854+106031119+130257488+115922586+234489421+63549076+42952937+2060794608+349920034+136486516+891606904+856831806+176412725+178816712+192522667+87053406+124513864+80779640+75881710+108982074+51002129+26369325+63808653+40581646+102326005+136838025+101066272+136318320+183377531+558025779+3178827305+147200770+347302515+292331718+4406405345</f>
        <v>16036884223</v>
      </c>
      <c r="K252" s="1">
        <f>255370981+184259116+149472611+406680519+213339394+330265991+474640037+80772768+1991047744+734083485+128656145+1265210084+885404820+147674575+164760289+218522032+99989708+140751954+146100452+176071611+176187983+67147729+34734399+110005755+62969973+265966827+193914231+233508444+320409480+482126019+5041734653+3219191216+201115397+336696740+1809038015+363480570+882914316</f>
        <v>21994216063</v>
      </c>
      <c r="L252" s="1">
        <f>55211453+136688704+48266948+53641453+90629562+343972455+59230580+36322595+924346404+195090570+73164660+2097436054+449943082+74453726+89693434+111319014+70108133+3101696+27306972+31315134+69673959+31042841+24248617+58316278+11850559+113394603+86213484+114466094+315107330+305203750+2161677931+861121288+87953105+291998000+1200000000+198791570</f>
        <v>10902302038</v>
      </c>
    </row>
    <row r="253" spans="1:12" s="4" customFormat="1" ht="27.6" x14ac:dyDescent="0.3">
      <c r="A253" s="160"/>
      <c r="B253" s="22" t="s">
        <v>569</v>
      </c>
      <c r="C253" s="37">
        <f>SUM(D253:L253)</f>
        <v>3855768773714</v>
      </c>
      <c r="D253" s="1">
        <f>295480730+52145209515</f>
        <v>52440690245</v>
      </c>
      <c r="E253" s="1">
        <f>36039809665+91739421454</f>
        <v>127779231119</v>
      </c>
      <c r="F253" s="1">
        <f>1423318370+200556112160</f>
        <v>201979430530</v>
      </c>
      <c r="G253" s="1">
        <f>3734487731+564393806911</f>
        <v>568128294642</v>
      </c>
      <c r="H253" s="1">
        <f>27001953359+513610817516</f>
        <v>540612770875</v>
      </c>
      <c r="I253" s="1">
        <f>6731726965+803371112213</f>
        <v>810102839178</v>
      </c>
      <c r="J253" s="33">
        <f>7325650775</f>
        <v>7325650775</v>
      </c>
      <c r="K253" s="1">
        <f>28196230149</f>
        <v>28196230149</v>
      </c>
      <c r="L253" s="1">
        <f>5897048725+1513306587476</f>
        <v>1519203636201</v>
      </c>
    </row>
    <row r="254" spans="1:12" s="4" customFormat="1" ht="27.6" x14ac:dyDescent="0.3">
      <c r="A254" s="160"/>
      <c r="B254" s="22" t="s">
        <v>570</v>
      </c>
      <c r="C254" s="37">
        <f t="shared" si="5"/>
        <v>1509554111</v>
      </c>
      <c r="D254" s="1">
        <v>9688180</v>
      </c>
      <c r="E254" s="1">
        <v>79079724</v>
      </c>
      <c r="F254" s="1" t="s">
        <v>177</v>
      </c>
      <c r="G254" s="1">
        <f>163998225</f>
        <v>163998225</v>
      </c>
      <c r="H254" s="1">
        <f>148377119</f>
        <v>148377119</v>
      </c>
      <c r="I254" s="1">
        <f>211588273</f>
        <v>211588273</v>
      </c>
      <c r="J254" s="33">
        <f>361644155</f>
        <v>361644155</v>
      </c>
      <c r="K254" s="1">
        <f>412646166</f>
        <v>412646166</v>
      </c>
      <c r="L254" s="1">
        <f>122532269</f>
        <v>122532269</v>
      </c>
    </row>
    <row r="255" spans="1:12" s="4" customFormat="1" ht="27.6" x14ac:dyDescent="0.3">
      <c r="A255" s="160"/>
      <c r="B255" s="22" t="s">
        <v>571</v>
      </c>
      <c r="C255" s="37">
        <f t="shared" si="5"/>
        <v>31114922647</v>
      </c>
      <c r="D255" s="1">
        <v>203055504</v>
      </c>
      <c r="E255" s="1">
        <v>2203732058</v>
      </c>
      <c r="F255" s="1" t="s">
        <v>177</v>
      </c>
      <c r="G255" s="1">
        <f>1812006047</f>
        <v>1812006047</v>
      </c>
      <c r="H255" s="1">
        <f>2191427656</f>
        <v>2191427656</v>
      </c>
      <c r="I255" s="1">
        <f>4290471910</f>
        <v>4290471910</v>
      </c>
      <c r="J255" s="33">
        <f>6347729347</f>
        <v>6347729347</v>
      </c>
      <c r="K255" s="1">
        <f>8689315878</f>
        <v>8689315878</v>
      </c>
      <c r="L255" s="1">
        <f>5377184247</f>
        <v>5377184247</v>
      </c>
    </row>
    <row r="256" spans="1:12" s="4" customFormat="1" ht="27.6" x14ac:dyDescent="0.3">
      <c r="A256" s="160"/>
      <c r="B256" s="22" t="s">
        <v>572</v>
      </c>
      <c r="C256" s="37">
        <f t="shared" si="5"/>
        <v>916039858</v>
      </c>
      <c r="D256" s="1">
        <v>9170870</v>
      </c>
      <c r="E256" s="1">
        <v>85202023</v>
      </c>
      <c r="F256" s="1" t="s">
        <v>177</v>
      </c>
      <c r="G256" s="1">
        <f>60720146</f>
        <v>60720146</v>
      </c>
      <c r="H256" s="1">
        <f>79458795</f>
        <v>79458795</v>
      </c>
      <c r="I256" s="1">
        <f>162046536</f>
        <v>162046536</v>
      </c>
      <c r="J256" s="33">
        <f>225469372</f>
        <v>225469372</v>
      </c>
      <c r="K256" s="1">
        <f>190194711</f>
        <v>190194711</v>
      </c>
      <c r="L256" s="1">
        <f>103777405</f>
        <v>103777405</v>
      </c>
    </row>
    <row r="257" spans="1:12" s="4" customFormat="1" ht="41.4" x14ac:dyDescent="0.3">
      <c r="A257" s="160"/>
      <c r="B257" s="22" t="s">
        <v>573</v>
      </c>
      <c r="C257" s="37">
        <f t="shared" si="5"/>
        <v>440729117</v>
      </c>
      <c r="D257" s="1">
        <v>3844497</v>
      </c>
      <c r="E257" s="1">
        <v>13702517</v>
      </c>
      <c r="F257" s="1" t="s">
        <v>177</v>
      </c>
      <c r="G257" s="1">
        <f>48144646</f>
        <v>48144646</v>
      </c>
      <c r="H257" s="1">
        <f>35198530</f>
        <v>35198530</v>
      </c>
      <c r="I257" s="1">
        <f>61210954</f>
        <v>61210954</v>
      </c>
      <c r="J257" s="33">
        <f>82823765</f>
        <v>82823765</v>
      </c>
      <c r="K257" s="1">
        <f>111552441</f>
        <v>111552441</v>
      </c>
      <c r="L257" s="1">
        <f>84251767</f>
        <v>84251767</v>
      </c>
    </row>
    <row r="258" spans="1:12" s="4" customFormat="1" ht="41.4" x14ac:dyDescent="0.3">
      <c r="A258" s="160"/>
      <c r="B258" s="22" t="s">
        <v>574</v>
      </c>
      <c r="C258" s="37">
        <f t="shared" si="5"/>
        <v>2273271680</v>
      </c>
      <c r="D258" s="1">
        <v>21734268</v>
      </c>
      <c r="E258" s="1">
        <v>105346025</v>
      </c>
      <c r="F258" s="1" t="s">
        <v>177</v>
      </c>
      <c r="G258" s="1">
        <f>47839885</f>
        <v>47839885</v>
      </c>
      <c r="H258" s="1">
        <f>224350426</f>
        <v>224350426</v>
      </c>
      <c r="I258" s="1">
        <f>361554496</f>
        <v>361554496</v>
      </c>
      <c r="J258" s="33">
        <f>498306598</f>
        <v>498306598</v>
      </c>
      <c r="K258" s="1">
        <f>754722571</f>
        <v>754722571</v>
      </c>
      <c r="L258" s="1">
        <f>259417411</f>
        <v>259417411</v>
      </c>
    </row>
    <row r="259" spans="1:12" s="4" customFormat="1" ht="55.2" x14ac:dyDescent="0.3">
      <c r="A259" s="160"/>
      <c r="B259" s="22" t="s">
        <v>420</v>
      </c>
      <c r="C259" s="37">
        <f t="shared" si="5"/>
        <v>9971570923</v>
      </c>
      <c r="D259" s="1">
        <f>8330024</f>
        <v>8330024</v>
      </c>
      <c r="E259" s="1">
        <v>6039593513</v>
      </c>
      <c r="F259" s="1" t="s">
        <v>177</v>
      </c>
      <c r="G259" s="1">
        <f>159938533</f>
        <v>159938533</v>
      </c>
      <c r="H259" s="1">
        <f>1476708275</f>
        <v>1476708275</v>
      </c>
      <c r="I259" s="1">
        <f>134650662</f>
        <v>134650662</v>
      </c>
      <c r="J259" s="33">
        <f>649958684</f>
        <v>649958684</v>
      </c>
      <c r="K259" s="1">
        <f>858423186</f>
        <v>858423186</v>
      </c>
      <c r="L259" s="1">
        <f>643968046</f>
        <v>643968046</v>
      </c>
    </row>
    <row r="260" spans="1:12" s="4" customFormat="1" ht="27.6" x14ac:dyDescent="0.3">
      <c r="A260" s="160"/>
      <c r="B260" s="22" t="s">
        <v>421</v>
      </c>
      <c r="C260" s="37">
        <f t="shared" si="5"/>
        <v>7677069546</v>
      </c>
      <c r="D260" s="1">
        <v>48651324</v>
      </c>
      <c r="E260" s="1">
        <v>351367880</v>
      </c>
      <c r="F260" s="1" t="s">
        <v>177</v>
      </c>
      <c r="G260" s="1">
        <f>270435372</f>
        <v>270435372</v>
      </c>
      <c r="H260" s="1">
        <f>724495481</f>
        <v>724495481</v>
      </c>
      <c r="I260" s="1">
        <f>1985574638</f>
        <v>1985574638</v>
      </c>
      <c r="J260" s="33">
        <f>2612428544</f>
        <v>2612428544</v>
      </c>
      <c r="K260" s="1" t="s">
        <v>177</v>
      </c>
      <c r="L260" s="1">
        <f>1684116307</f>
        <v>1684116307</v>
      </c>
    </row>
    <row r="261" spans="1:12" s="4" customFormat="1" x14ac:dyDescent="0.3">
      <c r="A261" s="160"/>
      <c r="B261" s="22" t="s">
        <v>422</v>
      </c>
      <c r="C261" s="37">
        <f t="shared" si="5"/>
        <v>8088258133</v>
      </c>
      <c r="D261" s="1">
        <f>57425366</f>
        <v>57425366</v>
      </c>
      <c r="E261" s="1">
        <v>377076418</v>
      </c>
      <c r="F261" s="1" t="s">
        <v>177</v>
      </c>
      <c r="G261" s="1"/>
      <c r="H261" s="1">
        <f>352490966</f>
        <v>352490966</v>
      </c>
      <c r="I261" s="1">
        <f>494494729</f>
        <v>494494729</v>
      </c>
      <c r="J261" s="33">
        <f>1896083789</f>
        <v>1896083789</v>
      </c>
      <c r="K261" s="1">
        <f>3613048811</f>
        <v>3613048811</v>
      </c>
      <c r="L261" s="1">
        <f>1297638054</f>
        <v>1297638054</v>
      </c>
    </row>
    <row r="262" spans="1:12" s="4" customFormat="1" x14ac:dyDescent="0.3">
      <c r="A262" s="160"/>
      <c r="B262" s="86" t="s">
        <v>423</v>
      </c>
      <c r="C262" s="37">
        <f t="shared" si="5"/>
        <v>23696960210</v>
      </c>
      <c r="D262" s="1">
        <v>2457030884</v>
      </c>
      <c r="E262" s="1">
        <v>3251821681</v>
      </c>
      <c r="F262" s="1">
        <v>1310744097</v>
      </c>
      <c r="G262" s="1">
        <f>1669566444</f>
        <v>1669566444</v>
      </c>
      <c r="H262" s="1">
        <f>2585997111</f>
        <v>2585997111</v>
      </c>
      <c r="I262" s="1">
        <f>3492485152</f>
        <v>3492485152</v>
      </c>
      <c r="J262" s="33">
        <f>1795822081</f>
        <v>1795822081</v>
      </c>
      <c r="K262" s="1">
        <f>2771292307</f>
        <v>2771292307</v>
      </c>
      <c r="L262" s="1">
        <f>4362200453</f>
        <v>4362200453</v>
      </c>
    </row>
    <row r="263" spans="1:12" s="4" customFormat="1" ht="27.6" x14ac:dyDescent="0.3">
      <c r="A263" s="160"/>
      <c r="B263" s="22" t="s">
        <v>424</v>
      </c>
      <c r="C263" s="37">
        <f t="shared" si="5"/>
        <v>74203786868</v>
      </c>
      <c r="D263" s="1">
        <v>513531356</v>
      </c>
      <c r="E263" s="1">
        <v>3655555110</v>
      </c>
      <c r="F263" s="1">
        <v>1582021208</v>
      </c>
      <c r="G263" s="1">
        <f>3579717511</f>
        <v>3579717511</v>
      </c>
      <c r="H263" s="1">
        <f>5579504387</f>
        <v>5579504387</v>
      </c>
      <c r="I263" s="1">
        <f>7878658213</f>
        <v>7878658213</v>
      </c>
      <c r="J263" s="33">
        <f>17637594239</f>
        <v>17637594239</v>
      </c>
      <c r="K263" s="1">
        <f>14963210996</f>
        <v>14963210996</v>
      </c>
      <c r="L263" s="1">
        <f>18813993848</f>
        <v>18813993848</v>
      </c>
    </row>
    <row r="264" spans="1:12" s="4" customFormat="1" ht="27.6" x14ac:dyDescent="0.3">
      <c r="A264" s="160"/>
      <c r="B264" s="22" t="s">
        <v>425</v>
      </c>
      <c r="C264" s="37">
        <f t="shared" si="5"/>
        <v>6066595897</v>
      </c>
      <c r="D264" s="1">
        <v>25804971</v>
      </c>
      <c r="E264" s="1">
        <v>231460324</v>
      </c>
      <c r="F264" s="1"/>
      <c r="G264" s="1">
        <f>1148831615</f>
        <v>1148831615</v>
      </c>
      <c r="H264" s="1">
        <f>287632406</f>
        <v>287632406</v>
      </c>
      <c r="I264" s="1">
        <f>689788060</f>
        <v>689788060</v>
      </c>
      <c r="J264" s="33">
        <f>1215186803</f>
        <v>1215186803</v>
      </c>
      <c r="K264" s="1">
        <f>1238844404</f>
        <v>1238844404</v>
      </c>
      <c r="L264" s="1">
        <f>1229047314</f>
        <v>1229047314</v>
      </c>
    </row>
    <row r="265" spans="1:12" s="4" customFormat="1" ht="27.6" x14ac:dyDescent="0.3">
      <c r="A265" s="160"/>
      <c r="B265" s="22" t="s">
        <v>426</v>
      </c>
      <c r="C265" s="37">
        <f t="shared" si="5"/>
        <v>5776238067</v>
      </c>
      <c r="D265" s="1">
        <v>54075368</v>
      </c>
      <c r="E265" s="1">
        <v>110298970</v>
      </c>
      <c r="F265" s="1">
        <v>644260113</v>
      </c>
      <c r="G265" s="1">
        <f>315631788</f>
        <v>315631788</v>
      </c>
      <c r="H265" s="1">
        <f>195266459</f>
        <v>195266459</v>
      </c>
      <c r="I265" s="1">
        <f>441404488</f>
        <v>441404488</v>
      </c>
      <c r="J265" s="33">
        <f>589245937</f>
        <v>589245937</v>
      </c>
      <c r="K265" s="1"/>
      <c r="L265" s="1">
        <f>3426054944</f>
        <v>3426054944</v>
      </c>
    </row>
    <row r="266" spans="1:12" s="4" customFormat="1" x14ac:dyDescent="0.3">
      <c r="A266" s="160"/>
      <c r="B266" s="38" t="s">
        <v>427</v>
      </c>
      <c r="C266" s="37">
        <f t="shared" si="5"/>
        <v>6628412849</v>
      </c>
      <c r="D266" s="1"/>
      <c r="E266" s="1">
        <v>113665893</v>
      </c>
      <c r="F266" s="1">
        <v>76245707</v>
      </c>
      <c r="G266" s="1">
        <f>103272147</f>
        <v>103272147</v>
      </c>
      <c r="H266" s="1">
        <f>531568542</f>
        <v>531568542</v>
      </c>
      <c r="I266" s="1">
        <f>2130463361</f>
        <v>2130463361</v>
      </c>
      <c r="J266" s="33">
        <f>1909996179</f>
        <v>1909996179</v>
      </c>
      <c r="K266" s="1">
        <f>1763201020</f>
        <v>1763201020</v>
      </c>
      <c r="L266" s="1"/>
    </row>
    <row r="267" spans="1:12" s="4" customFormat="1" ht="27.6" x14ac:dyDescent="0.3">
      <c r="A267" s="160"/>
      <c r="B267" s="38" t="s">
        <v>428</v>
      </c>
      <c r="C267" s="37">
        <f t="shared" si="5"/>
        <v>2289055186</v>
      </c>
      <c r="D267" s="1">
        <v>111696663</v>
      </c>
      <c r="E267" s="1">
        <v>69777390</v>
      </c>
      <c r="F267" s="1" t="s">
        <v>177</v>
      </c>
      <c r="G267" s="1">
        <f>181846621</f>
        <v>181846621</v>
      </c>
      <c r="H267" s="1">
        <f>165384612</f>
        <v>165384612</v>
      </c>
      <c r="I267" s="1">
        <f>214205659</f>
        <v>214205659</v>
      </c>
      <c r="J267" s="33">
        <f>666350642</f>
        <v>666350642</v>
      </c>
      <c r="K267" s="1">
        <f>525364381</f>
        <v>525364381</v>
      </c>
      <c r="L267" s="1">
        <f>354429218</f>
        <v>354429218</v>
      </c>
    </row>
    <row r="268" spans="1:12" s="4" customFormat="1" ht="27.6" x14ac:dyDescent="0.3">
      <c r="A268" s="160"/>
      <c r="B268" s="38" t="s">
        <v>429</v>
      </c>
      <c r="C268" s="37">
        <f t="shared" si="5"/>
        <v>1614969701</v>
      </c>
      <c r="D268" s="1">
        <v>27867352</v>
      </c>
      <c r="E268" s="1">
        <v>79493620</v>
      </c>
      <c r="F268" s="1" t="s">
        <v>177</v>
      </c>
      <c r="G268" s="1">
        <f>182773608</f>
        <v>182773608</v>
      </c>
      <c r="H268" s="1">
        <f>207592775</f>
        <v>207592775</v>
      </c>
      <c r="I268" s="1">
        <f>197345802</f>
        <v>197345802</v>
      </c>
      <c r="J268" s="33">
        <f>301642787</f>
        <v>301642787</v>
      </c>
      <c r="K268" s="1">
        <f>337319137</f>
        <v>337319137</v>
      </c>
      <c r="L268" s="1">
        <f>280934620</f>
        <v>280934620</v>
      </c>
    </row>
    <row r="269" spans="1:12" s="4" customFormat="1" x14ac:dyDescent="0.3">
      <c r="A269" s="160"/>
      <c r="B269" s="38" t="s">
        <v>430</v>
      </c>
      <c r="C269" s="37">
        <f t="shared" si="5"/>
        <v>2320892192</v>
      </c>
      <c r="D269" s="1" t="s">
        <v>177</v>
      </c>
      <c r="E269" s="1">
        <v>42125455</v>
      </c>
      <c r="F269" s="1">
        <v>114402269</v>
      </c>
      <c r="G269" s="1">
        <f>103272147</f>
        <v>103272147</v>
      </c>
      <c r="H269" s="1">
        <f>142105363</f>
        <v>142105363</v>
      </c>
      <c r="I269" s="1">
        <f>574805054</f>
        <v>574805054</v>
      </c>
      <c r="J269" s="33">
        <f>961085240</f>
        <v>961085240</v>
      </c>
      <c r="K269" s="1">
        <f>383096664</f>
        <v>383096664</v>
      </c>
      <c r="L269" s="1"/>
    </row>
    <row r="270" spans="1:12" s="4" customFormat="1" ht="27.6" x14ac:dyDescent="0.3">
      <c r="A270" s="160"/>
      <c r="B270" s="38" t="s">
        <v>431</v>
      </c>
      <c r="C270" s="37">
        <f t="shared" si="5"/>
        <v>317698088183</v>
      </c>
      <c r="D270" s="1" t="s">
        <v>177</v>
      </c>
      <c r="E270" s="1"/>
      <c r="F270" s="1"/>
      <c r="G270" s="1"/>
      <c r="H270" s="1" t="s">
        <v>177</v>
      </c>
      <c r="I270" s="1" t="s">
        <v>177</v>
      </c>
      <c r="J270" s="33">
        <f>139229249968</f>
        <v>139229249968</v>
      </c>
      <c r="K270" s="1">
        <f>132370756856</f>
        <v>132370756856</v>
      </c>
      <c r="L270" s="1">
        <f>46098081359</f>
        <v>46098081359</v>
      </c>
    </row>
    <row r="271" spans="1:12" s="4" customFormat="1" ht="27.6" x14ac:dyDescent="0.3">
      <c r="A271" s="160"/>
      <c r="B271" s="38" t="s">
        <v>432</v>
      </c>
      <c r="C271" s="37">
        <f t="shared" si="5"/>
        <v>1165433770</v>
      </c>
      <c r="D271" s="1" t="s">
        <v>177</v>
      </c>
      <c r="E271" s="1">
        <v>43119653</v>
      </c>
      <c r="F271" s="1">
        <v>13832192</v>
      </c>
      <c r="G271" s="1">
        <f>45574769</f>
        <v>45574769</v>
      </c>
      <c r="H271" s="1">
        <f>75091712</f>
        <v>75091712</v>
      </c>
      <c r="I271" s="1">
        <f>249283698</f>
        <v>249283698</v>
      </c>
      <c r="J271" s="33">
        <f>518957505</f>
        <v>518957505</v>
      </c>
      <c r="K271" s="1">
        <f>219574241</f>
        <v>219574241</v>
      </c>
      <c r="L271" s="1" t="s">
        <v>177</v>
      </c>
    </row>
    <row r="272" spans="1:12" s="4" customFormat="1" ht="27.6" x14ac:dyDescent="0.3">
      <c r="A272" s="161"/>
      <c r="B272" s="38" t="s">
        <v>433</v>
      </c>
      <c r="C272" s="37">
        <f t="shared" si="5"/>
        <v>500000000</v>
      </c>
      <c r="D272" s="1" t="s">
        <v>177</v>
      </c>
      <c r="E272" s="1" t="s">
        <v>177</v>
      </c>
      <c r="F272" s="1" t="s">
        <v>177</v>
      </c>
      <c r="G272" s="1" t="s">
        <v>177</v>
      </c>
      <c r="H272" s="1" t="s">
        <v>177</v>
      </c>
      <c r="I272" s="1">
        <v>500000000</v>
      </c>
      <c r="J272" s="1" t="s">
        <v>177</v>
      </c>
      <c r="K272" s="1" t="s">
        <v>177</v>
      </c>
      <c r="L272" s="1" t="s">
        <v>177</v>
      </c>
    </row>
    <row r="273" spans="1:12" s="4" customFormat="1" x14ac:dyDescent="0.3">
      <c r="A273" s="159" t="s">
        <v>583</v>
      </c>
      <c r="B273" s="22" t="s">
        <v>434</v>
      </c>
      <c r="C273" s="37">
        <f t="shared" si="5"/>
        <v>68378833319</v>
      </c>
      <c r="D273" s="1" t="s">
        <v>177</v>
      </c>
      <c r="E273" s="1">
        <f>1992468327+425343569</f>
        <v>2417811896</v>
      </c>
      <c r="F273" s="1">
        <f>142139703+654047170+280305930</f>
        <v>1076492803</v>
      </c>
      <c r="G273" s="1">
        <f>3102412340+3571655586</f>
        <v>6674067926</v>
      </c>
      <c r="H273" s="1">
        <f>1754755793+2741983999</f>
        <v>4496739792</v>
      </c>
      <c r="I273" s="1">
        <f>8160592411+3497396747</f>
        <v>11657989158</v>
      </c>
      <c r="J273" s="33">
        <f>4577828444+2000000000</f>
        <v>6577828444</v>
      </c>
      <c r="K273" s="1">
        <f>9631774218+1371202699</f>
        <v>11002976917</v>
      </c>
      <c r="L273" s="1">
        <f>5070675664+19404250719</f>
        <v>24474926383</v>
      </c>
    </row>
    <row r="274" spans="1:12" s="4" customFormat="1" ht="55.2" x14ac:dyDescent="0.3">
      <c r="A274" s="160"/>
      <c r="B274" s="22" t="s">
        <v>436</v>
      </c>
      <c r="C274" s="37">
        <f t="shared" si="5"/>
        <v>2494000410</v>
      </c>
      <c r="D274" s="1" t="s">
        <v>177</v>
      </c>
      <c r="E274" s="1">
        <f>984188+2296439</f>
        <v>3280627</v>
      </c>
      <c r="F274" s="1">
        <f>1673510+3904857</f>
        <v>5578367</v>
      </c>
      <c r="G274" s="1">
        <f>8035704+18749978</f>
        <v>26785682</v>
      </c>
      <c r="H274" s="1">
        <f>3399531+1328374501</f>
        <v>1331774032</v>
      </c>
      <c r="I274" s="1">
        <f>33900356+79100831</f>
        <v>113001187</v>
      </c>
      <c r="J274" s="33">
        <f>38209306</f>
        <v>38209306</v>
      </c>
      <c r="K274" s="1">
        <f>224398887+175556880</f>
        <v>399955767</v>
      </c>
      <c r="L274" s="1">
        <f>72152410+503263032</f>
        <v>575415442</v>
      </c>
    </row>
    <row r="275" spans="1:12" s="4" customFormat="1" x14ac:dyDescent="0.3">
      <c r="A275" s="160"/>
      <c r="B275" s="22" t="s">
        <v>206</v>
      </c>
      <c r="C275" s="37">
        <f t="shared" si="5"/>
        <v>5836610429</v>
      </c>
      <c r="D275" s="1" t="s">
        <v>177</v>
      </c>
      <c r="E275" s="1" t="s">
        <v>177</v>
      </c>
      <c r="F275" s="1" t="s">
        <v>177</v>
      </c>
      <c r="G275" s="1" t="s">
        <v>177</v>
      </c>
      <c r="H275" s="1" t="s">
        <v>177</v>
      </c>
      <c r="I275" s="1">
        <f>700000000</f>
        <v>700000000</v>
      </c>
      <c r="J275" s="33">
        <f>700000000</f>
        <v>700000000</v>
      </c>
      <c r="K275" s="1">
        <f>700000000</f>
        <v>700000000</v>
      </c>
      <c r="L275" s="1">
        <f>3736610429</f>
        <v>3736610429</v>
      </c>
    </row>
    <row r="276" spans="1:12" s="4" customFormat="1" ht="27.6" x14ac:dyDescent="0.3">
      <c r="A276" s="160"/>
      <c r="B276" s="22" t="s">
        <v>435</v>
      </c>
      <c r="C276" s="37">
        <f t="shared" si="5"/>
        <v>1136762186</v>
      </c>
      <c r="D276" s="1" t="s">
        <v>177</v>
      </c>
      <c r="E276" s="1" t="s">
        <v>177</v>
      </c>
      <c r="F276" s="1" t="s">
        <v>177</v>
      </c>
      <c r="G276" s="1" t="s">
        <v>177</v>
      </c>
      <c r="H276" s="1">
        <f>135802836</f>
        <v>135802836</v>
      </c>
      <c r="I276" s="1">
        <f>135802836</f>
        <v>135802836</v>
      </c>
      <c r="J276" s="33">
        <f>135802836</f>
        <v>135802836</v>
      </c>
      <c r="K276" s="1">
        <f>135802836</f>
        <v>135802836</v>
      </c>
      <c r="L276" s="1">
        <f>593550842</f>
        <v>593550842</v>
      </c>
    </row>
    <row r="277" spans="1:12" s="4" customFormat="1" ht="27.6" x14ac:dyDescent="0.3">
      <c r="A277" s="160"/>
      <c r="B277" s="22" t="s">
        <v>207</v>
      </c>
      <c r="C277" s="37">
        <f t="shared" si="5"/>
        <v>6631347693</v>
      </c>
      <c r="D277" s="1" t="s">
        <v>177</v>
      </c>
      <c r="E277" s="1">
        <f>72226342+59094279</f>
        <v>131320621</v>
      </c>
      <c r="F277" s="1">
        <f>52794709+43195672</f>
        <v>95990381</v>
      </c>
      <c r="G277" s="1">
        <f>219865684+121844735</f>
        <v>341710419</v>
      </c>
      <c r="H277" s="1">
        <f>167549668+137086093</f>
        <v>304635761</v>
      </c>
      <c r="I277" s="1">
        <f>637337494+521457950</f>
        <v>1158795444</v>
      </c>
      <c r="J277" s="33">
        <f>1383999513+395091940</f>
        <v>1779091453</v>
      </c>
      <c r="K277" s="1">
        <f>1704927079+1114876535</f>
        <v>2819803614</v>
      </c>
      <c r="L277" s="1" t="s">
        <v>177</v>
      </c>
    </row>
    <row r="278" spans="1:12" s="4" customFormat="1" ht="27.6" x14ac:dyDescent="0.3">
      <c r="A278" s="160"/>
      <c r="B278" s="38" t="s">
        <v>437</v>
      </c>
      <c r="C278" s="37">
        <f t="shared" si="5"/>
        <v>2076163521</v>
      </c>
      <c r="D278" s="1" t="s">
        <v>177</v>
      </c>
      <c r="E278" s="1" t="s">
        <v>177</v>
      </c>
      <c r="F278" s="1">
        <v>14901</v>
      </c>
      <c r="G278" s="1">
        <f>48793318+24071494</f>
        <v>72864812</v>
      </c>
      <c r="H278" s="1">
        <f>151846184</f>
        <v>151846184</v>
      </c>
      <c r="I278" s="1">
        <f>258107858+258107858</f>
        <v>516215716</v>
      </c>
      <c r="J278" s="33">
        <f>263220060+174614917</f>
        <v>437834977</v>
      </c>
      <c r="K278" s="1">
        <f>320177331+178409100</f>
        <v>498586431</v>
      </c>
      <c r="L278" s="1">
        <f>199400250+199400250</f>
        <v>398800500</v>
      </c>
    </row>
    <row r="279" spans="1:12" s="4" customFormat="1" x14ac:dyDescent="0.3">
      <c r="A279" s="159" t="s">
        <v>584</v>
      </c>
      <c r="B279" s="22" t="s">
        <v>438</v>
      </c>
      <c r="C279" s="37">
        <f t="shared" ref="C279:C325" si="6">SUM(D279:L279)</f>
        <v>57882593407</v>
      </c>
      <c r="D279" s="1" t="s">
        <v>177</v>
      </c>
      <c r="E279" s="1" t="s">
        <v>177</v>
      </c>
      <c r="F279" s="1" t="s">
        <v>177</v>
      </c>
      <c r="G279" s="1">
        <f>5625918928</f>
        <v>5625918928</v>
      </c>
      <c r="H279" s="1">
        <f>4339494861</f>
        <v>4339494861</v>
      </c>
      <c r="I279" s="1">
        <f>4393068669</f>
        <v>4393068669</v>
      </c>
      <c r="J279" s="33">
        <f>28422504466</f>
        <v>28422504466</v>
      </c>
      <c r="K279" s="1">
        <f>15101606483</f>
        <v>15101606483</v>
      </c>
      <c r="L279" s="1" t="s">
        <v>177</v>
      </c>
    </row>
    <row r="280" spans="1:12" s="4" customFormat="1" ht="41.4" x14ac:dyDescent="0.3">
      <c r="A280" s="160"/>
      <c r="B280" s="22" t="s">
        <v>439</v>
      </c>
      <c r="C280" s="37">
        <f t="shared" si="6"/>
        <v>2548509529</v>
      </c>
      <c r="D280" s="1" t="s">
        <v>177</v>
      </c>
      <c r="E280" s="1" t="s">
        <v>177</v>
      </c>
      <c r="F280" s="1">
        <v>125228506</v>
      </c>
      <c r="G280" s="1">
        <f>419677432</f>
        <v>419677432</v>
      </c>
      <c r="H280" s="1">
        <f>324036320</f>
        <v>324036320</v>
      </c>
      <c r="I280" s="1">
        <f>178311974</f>
        <v>178311974</v>
      </c>
      <c r="J280" s="33">
        <f>924253110</f>
        <v>924253110</v>
      </c>
      <c r="K280" s="1">
        <f>577002187</f>
        <v>577002187</v>
      </c>
      <c r="L280" s="1" t="s">
        <v>177</v>
      </c>
    </row>
    <row r="281" spans="1:12" s="4" customFormat="1" ht="41.4" x14ac:dyDescent="0.3">
      <c r="A281" s="160"/>
      <c r="B281" s="22" t="s">
        <v>440</v>
      </c>
      <c r="C281" s="37">
        <f t="shared" si="6"/>
        <v>26430293825</v>
      </c>
      <c r="D281" s="1" t="s">
        <v>177</v>
      </c>
      <c r="E281" s="1" t="s">
        <v>177</v>
      </c>
      <c r="F281" s="1">
        <v>624713816</v>
      </c>
      <c r="G281" s="1">
        <f>1940000000</f>
        <v>1940000000</v>
      </c>
      <c r="H281" s="1">
        <f>6241960156</f>
        <v>6241960156</v>
      </c>
      <c r="I281" s="1">
        <f>3960157502</f>
        <v>3960157502</v>
      </c>
      <c r="J281" s="33">
        <f>3774582420+7000000000</f>
        <v>10774582420</v>
      </c>
      <c r="K281" s="1">
        <f>2888879931</f>
        <v>2888879931</v>
      </c>
      <c r="L281" s="1" t="s">
        <v>177</v>
      </c>
    </row>
    <row r="282" spans="1:12" s="4" customFormat="1" ht="27.6" x14ac:dyDescent="0.3">
      <c r="A282" s="160"/>
      <c r="B282" s="22" t="s">
        <v>441</v>
      </c>
      <c r="C282" s="37">
        <f t="shared" si="6"/>
        <v>50244713</v>
      </c>
      <c r="D282" s="1" t="s">
        <v>177</v>
      </c>
      <c r="E282" s="1" t="s">
        <v>177</v>
      </c>
      <c r="F282" s="1">
        <v>3696954</v>
      </c>
      <c r="G282" s="1">
        <f>9426423</f>
        <v>9426423</v>
      </c>
      <c r="H282" s="1">
        <f>6709509</f>
        <v>6709509</v>
      </c>
      <c r="I282" s="1">
        <f>3955987</f>
        <v>3955987</v>
      </c>
      <c r="J282" s="33">
        <f>16325844</f>
        <v>16325844</v>
      </c>
      <c r="K282" s="1">
        <f>10129996</f>
        <v>10129996</v>
      </c>
      <c r="L282" s="1" t="s">
        <v>177</v>
      </c>
    </row>
    <row r="283" spans="1:12" s="4" customFormat="1" x14ac:dyDescent="0.3">
      <c r="A283" s="160"/>
      <c r="B283" s="22" t="s">
        <v>442</v>
      </c>
      <c r="C283" s="37">
        <f t="shared" si="6"/>
        <v>396648318</v>
      </c>
      <c r="D283" s="1" t="s">
        <v>177</v>
      </c>
      <c r="E283" s="1" t="s">
        <v>177</v>
      </c>
      <c r="F283" s="1">
        <v>15944378</v>
      </c>
      <c r="G283" s="1">
        <f>32374507</f>
        <v>32374507</v>
      </c>
      <c r="H283" s="1">
        <f>26577643</f>
        <v>26577643</v>
      </c>
      <c r="I283" s="1">
        <f>61605423</f>
        <v>61605423</v>
      </c>
      <c r="J283" s="33">
        <f>174054439</f>
        <v>174054439</v>
      </c>
      <c r="K283" s="1">
        <f>86091928</f>
        <v>86091928</v>
      </c>
      <c r="L283" s="1" t="s">
        <v>177</v>
      </c>
    </row>
    <row r="284" spans="1:12" s="4" customFormat="1" ht="27.6" x14ac:dyDescent="0.3">
      <c r="A284" s="160"/>
      <c r="B284" s="22" t="s">
        <v>443</v>
      </c>
      <c r="C284" s="37">
        <f t="shared" si="6"/>
        <v>379511768</v>
      </c>
      <c r="D284" s="1" t="s">
        <v>177</v>
      </c>
      <c r="E284" s="1" t="s">
        <v>177</v>
      </c>
      <c r="F284" s="1">
        <v>11264085</v>
      </c>
      <c r="G284" s="1">
        <f>22137631</f>
        <v>22137631</v>
      </c>
      <c r="H284" s="1">
        <v>17467338</v>
      </c>
      <c r="I284" s="1">
        <f>78107148</f>
        <v>78107148</v>
      </c>
      <c r="J284" s="33">
        <f>99301044</f>
        <v>99301044</v>
      </c>
      <c r="K284" s="1">
        <f>151234522</f>
        <v>151234522</v>
      </c>
      <c r="L284" s="1" t="s">
        <v>177</v>
      </c>
    </row>
    <row r="285" spans="1:12" s="4" customFormat="1" ht="27.6" x14ac:dyDescent="0.3">
      <c r="A285" s="160"/>
      <c r="B285" s="22" t="s">
        <v>444</v>
      </c>
      <c r="C285" s="37">
        <f t="shared" si="6"/>
        <v>91085704</v>
      </c>
      <c r="D285" s="1" t="s">
        <v>177</v>
      </c>
      <c r="E285" s="1" t="s">
        <v>177</v>
      </c>
      <c r="F285" s="1">
        <v>3121228</v>
      </c>
      <c r="G285" s="1">
        <f>43683000</f>
        <v>43683000</v>
      </c>
      <c r="H285" s="1">
        <f>3741271</f>
        <v>3741271</v>
      </c>
      <c r="I285" s="1"/>
      <c r="J285" s="33">
        <f>23809104</f>
        <v>23809104</v>
      </c>
      <c r="K285" s="1">
        <f>16731101</f>
        <v>16731101</v>
      </c>
      <c r="L285" s="1" t="s">
        <v>177</v>
      </c>
    </row>
    <row r="286" spans="1:12" s="4" customFormat="1" ht="27.6" x14ac:dyDescent="0.3">
      <c r="A286" s="160"/>
      <c r="B286" s="22" t="s">
        <v>445</v>
      </c>
      <c r="C286" s="37">
        <f t="shared" si="6"/>
        <v>981796865</v>
      </c>
      <c r="D286" s="1" t="s">
        <v>177</v>
      </c>
      <c r="E286" s="1" t="s">
        <v>177</v>
      </c>
      <c r="F286" s="1">
        <v>50240067</v>
      </c>
      <c r="G286" s="1">
        <f>138765324</f>
        <v>138765324</v>
      </c>
      <c r="H286" s="1">
        <f>214697946</f>
        <v>214697946</v>
      </c>
      <c r="I286" s="1">
        <f>53199551</f>
        <v>53199551</v>
      </c>
      <c r="J286" s="33">
        <f>384829548</f>
        <v>384829548</v>
      </c>
      <c r="K286" s="1">
        <f>140064429</f>
        <v>140064429</v>
      </c>
      <c r="L286" s="1" t="s">
        <v>177</v>
      </c>
    </row>
    <row r="287" spans="1:12" s="4" customFormat="1" x14ac:dyDescent="0.3">
      <c r="A287" s="160"/>
      <c r="B287" s="38" t="s">
        <v>446</v>
      </c>
      <c r="C287" s="37">
        <f t="shared" si="6"/>
        <v>272563278</v>
      </c>
      <c r="D287" s="1" t="s">
        <v>177</v>
      </c>
      <c r="E287" s="1" t="s">
        <v>177</v>
      </c>
      <c r="F287" s="1" t="s">
        <v>177</v>
      </c>
      <c r="G287" s="1" t="s">
        <v>177</v>
      </c>
      <c r="H287" s="1" t="s">
        <v>177</v>
      </c>
      <c r="I287" s="1">
        <f>32909425</f>
        <v>32909425</v>
      </c>
      <c r="J287" s="33">
        <f>105762838</f>
        <v>105762838</v>
      </c>
      <c r="K287" s="1">
        <f>133891015</f>
        <v>133891015</v>
      </c>
      <c r="L287" s="1" t="s">
        <v>177</v>
      </c>
    </row>
    <row r="288" spans="1:12" s="4" customFormat="1" ht="27.6" x14ac:dyDescent="0.3">
      <c r="A288" s="160"/>
      <c r="B288" s="38" t="s">
        <v>447</v>
      </c>
      <c r="C288" s="37">
        <f t="shared" si="6"/>
        <v>25289496347</v>
      </c>
      <c r="D288" s="1" t="s">
        <v>177</v>
      </c>
      <c r="E288" s="1" t="s">
        <v>177</v>
      </c>
      <c r="F288" s="1">
        <v>303776931</v>
      </c>
      <c r="G288" s="1">
        <f>1416944106</f>
        <v>1416944106</v>
      </c>
      <c r="H288" s="1">
        <f>6080676017</f>
        <v>6080676017</v>
      </c>
      <c r="I288" s="1">
        <f>443512893</f>
        <v>443512893</v>
      </c>
      <c r="J288" s="33">
        <f>8843627336</f>
        <v>8843627336</v>
      </c>
      <c r="K288" s="1">
        <f>8200959064</f>
        <v>8200959064</v>
      </c>
      <c r="L288" s="1" t="s">
        <v>177</v>
      </c>
    </row>
    <row r="289" spans="1:12" s="4" customFormat="1" x14ac:dyDescent="0.3">
      <c r="A289" s="160"/>
      <c r="B289" s="38" t="s">
        <v>448</v>
      </c>
      <c r="C289" s="37">
        <f t="shared" si="6"/>
        <v>4126171443</v>
      </c>
      <c r="D289" s="1" t="s">
        <v>177</v>
      </c>
      <c r="E289" s="1" t="s">
        <v>177</v>
      </c>
      <c r="F289" s="1">
        <v>79087713</v>
      </c>
      <c r="G289" s="1">
        <f>47757870</f>
        <v>47757870</v>
      </c>
      <c r="H289" s="1">
        <f>2022834427</f>
        <v>2022834427</v>
      </c>
      <c r="I289" s="1">
        <f>94243721</f>
        <v>94243721</v>
      </c>
      <c r="J289" s="33">
        <f>1196528351</f>
        <v>1196528351</v>
      </c>
      <c r="K289" s="1">
        <f>685719361</f>
        <v>685719361</v>
      </c>
      <c r="L289" s="1" t="s">
        <v>177</v>
      </c>
    </row>
    <row r="290" spans="1:12" s="4" customFormat="1" x14ac:dyDescent="0.3">
      <c r="A290" s="160"/>
      <c r="B290" s="38" t="s">
        <v>449</v>
      </c>
      <c r="C290" s="37">
        <f t="shared" si="6"/>
        <v>56095802066</v>
      </c>
      <c r="D290" s="1" t="s">
        <v>177</v>
      </c>
      <c r="E290" s="1" t="s">
        <v>177</v>
      </c>
      <c r="F290" s="1"/>
      <c r="G290" s="1">
        <f>2650913633</f>
        <v>2650913633</v>
      </c>
      <c r="H290" s="1">
        <f>13571694556</f>
        <v>13571694556</v>
      </c>
      <c r="I290" s="1">
        <f>1509884155</f>
        <v>1509884155</v>
      </c>
      <c r="J290" s="33">
        <f>16094038877</f>
        <v>16094038877</v>
      </c>
      <c r="K290" s="1">
        <f>22269270845</f>
        <v>22269270845</v>
      </c>
      <c r="L290" s="1" t="s">
        <v>177</v>
      </c>
    </row>
    <row r="291" spans="1:12" s="4" customFormat="1" x14ac:dyDescent="0.3">
      <c r="A291" s="160"/>
      <c r="B291" s="38" t="s">
        <v>450</v>
      </c>
      <c r="C291" s="37">
        <f t="shared" si="6"/>
        <v>45627116191</v>
      </c>
      <c r="D291" s="1" t="s">
        <v>177</v>
      </c>
      <c r="E291" s="1" t="s">
        <v>177</v>
      </c>
      <c r="F291" s="1">
        <v>591607192</v>
      </c>
      <c r="G291" s="1">
        <f>2427077360</f>
        <v>2427077360</v>
      </c>
      <c r="H291" s="1">
        <f>10273828178</f>
        <v>10273828178</v>
      </c>
      <c r="I291" s="1">
        <f>935102278</f>
        <v>935102278</v>
      </c>
      <c r="J291" s="33">
        <f>14199961981</f>
        <v>14199961981</v>
      </c>
      <c r="K291" s="1">
        <f>17199539202</f>
        <v>17199539202</v>
      </c>
      <c r="L291" s="1" t="s">
        <v>177</v>
      </c>
    </row>
    <row r="292" spans="1:12" s="4" customFormat="1" x14ac:dyDescent="0.3">
      <c r="A292" s="160"/>
      <c r="B292" s="38" t="s">
        <v>451</v>
      </c>
      <c r="C292" s="37">
        <f t="shared" si="6"/>
        <v>15200689216</v>
      </c>
      <c r="D292" s="1" t="s">
        <v>177</v>
      </c>
      <c r="E292" s="1" t="s">
        <v>177</v>
      </c>
      <c r="F292" s="1"/>
      <c r="G292" s="1">
        <f>1508580172</f>
        <v>1508580172</v>
      </c>
      <c r="H292" s="1">
        <f>3648765657</f>
        <v>3648765657</v>
      </c>
      <c r="I292" s="1">
        <f>452165921</f>
        <v>452165921</v>
      </c>
      <c r="J292" s="33">
        <f>5645654098</f>
        <v>5645654098</v>
      </c>
      <c r="K292" s="1">
        <f>3945523368</f>
        <v>3945523368</v>
      </c>
      <c r="L292" s="1" t="s">
        <v>177</v>
      </c>
    </row>
    <row r="293" spans="1:12" s="4" customFormat="1" ht="27.6" x14ac:dyDescent="0.3">
      <c r="A293" s="160"/>
      <c r="B293" s="38" t="s">
        <v>452</v>
      </c>
      <c r="C293" s="37">
        <f t="shared" si="6"/>
        <v>5491424510</v>
      </c>
      <c r="D293" s="1" t="s">
        <v>177</v>
      </c>
      <c r="E293" s="1" t="s">
        <v>177</v>
      </c>
      <c r="F293" s="1"/>
      <c r="G293" s="1">
        <f>468193741</f>
        <v>468193741</v>
      </c>
      <c r="H293" s="1">
        <f>1107758635</f>
        <v>1107758635</v>
      </c>
      <c r="I293" s="1">
        <f>115312411</f>
        <v>115312411</v>
      </c>
      <c r="J293" s="33">
        <f>2670109411</f>
        <v>2670109411</v>
      </c>
      <c r="K293" s="1">
        <f>1130050312</f>
        <v>1130050312</v>
      </c>
      <c r="L293" s="1" t="s">
        <v>177</v>
      </c>
    </row>
    <row r="294" spans="1:12" s="4" customFormat="1" x14ac:dyDescent="0.3">
      <c r="A294" s="160"/>
      <c r="B294" s="38" t="s">
        <v>453</v>
      </c>
      <c r="C294" s="37">
        <f t="shared" si="6"/>
        <v>31391945165</v>
      </c>
      <c r="D294" s="1" t="s">
        <v>177</v>
      </c>
      <c r="E294" s="1" t="s">
        <v>177</v>
      </c>
      <c r="F294" s="1"/>
      <c r="G294" s="1">
        <f>1127447781</f>
        <v>1127447781</v>
      </c>
      <c r="H294" s="1">
        <f>5872934400</f>
        <v>5872934400</v>
      </c>
      <c r="I294" s="1">
        <f>919063279</f>
        <v>919063279</v>
      </c>
      <c r="J294" s="33">
        <f>11774114538</f>
        <v>11774114538</v>
      </c>
      <c r="K294" s="1">
        <f>11698385167</f>
        <v>11698385167</v>
      </c>
      <c r="L294" s="1" t="s">
        <v>177</v>
      </c>
    </row>
    <row r="295" spans="1:12" s="4" customFormat="1" x14ac:dyDescent="0.3">
      <c r="A295" s="160"/>
      <c r="B295" s="38" t="s">
        <v>454</v>
      </c>
      <c r="C295" s="37">
        <f t="shared" si="6"/>
        <v>42099321842</v>
      </c>
      <c r="D295" s="1" t="s">
        <v>177</v>
      </c>
      <c r="E295" s="1" t="s">
        <v>177</v>
      </c>
      <c r="F295" s="1"/>
      <c r="G295" s="1">
        <v>2563515309</v>
      </c>
      <c r="H295" s="1">
        <f>7661205791</f>
        <v>7661205791</v>
      </c>
      <c r="I295" s="1">
        <f>1066685818</f>
        <v>1066685818</v>
      </c>
      <c r="J295" s="33">
        <f>17618982199</f>
        <v>17618982199</v>
      </c>
      <c r="K295" s="1">
        <f>13188932725</f>
        <v>13188932725</v>
      </c>
      <c r="L295" s="1" t="s">
        <v>177</v>
      </c>
    </row>
    <row r="296" spans="1:12" s="4" customFormat="1" x14ac:dyDescent="0.3">
      <c r="A296" s="160"/>
      <c r="B296" s="38" t="s">
        <v>455</v>
      </c>
      <c r="C296" s="37">
        <f t="shared" si="6"/>
        <v>1786065129</v>
      </c>
      <c r="D296" s="1" t="s">
        <v>177</v>
      </c>
      <c r="E296" s="1" t="s">
        <v>177</v>
      </c>
      <c r="F296" s="1">
        <v>54934042</v>
      </c>
      <c r="G296" s="1">
        <f>133878876</f>
        <v>133878876</v>
      </c>
      <c r="H296" s="1">
        <f>66423419</f>
        <v>66423419</v>
      </c>
      <c r="I296" s="1">
        <f>246424982</f>
        <v>246424982</v>
      </c>
      <c r="J296" s="33">
        <f>676351715</f>
        <v>676351715</v>
      </c>
      <c r="K296" s="1">
        <f>608052095</f>
        <v>608052095</v>
      </c>
      <c r="L296" s="1" t="s">
        <v>177</v>
      </c>
    </row>
    <row r="297" spans="1:12" s="4" customFormat="1" x14ac:dyDescent="0.3">
      <c r="A297" s="160"/>
      <c r="B297" s="38" t="s">
        <v>456</v>
      </c>
      <c r="C297" s="37">
        <f t="shared" si="6"/>
        <v>1476765481</v>
      </c>
      <c r="D297" s="1" t="s">
        <v>177</v>
      </c>
      <c r="E297" s="1" t="s">
        <v>177</v>
      </c>
      <c r="F297" s="1">
        <v>56649596</v>
      </c>
      <c r="G297" s="1">
        <f>207091888</f>
        <v>207091888</v>
      </c>
      <c r="H297" s="1">
        <f>140519206</f>
        <v>140519206</v>
      </c>
      <c r="I297" s="1">
        <f>132732003</f>
        <v>132732003</v>
      </c>
      <c r="J297" s="33">
        <f>540705729</f>
        <v>540705729</v>
      </c>
      <c r="K297" s="1">
        <f>399067059</f>
        <v>399067059</v>
      </c>
      <c r="L297" s="1" t="s">
        <v>177</v>
      </c>
    </row>
    <row r="298" spans="1:12" s="4" customFormat="1" x14ac:dyDescent="0.3">
      <c r="A298" s="160"/>
      <c r="B298" s="38" t="s">
        <v>457</v>
      </c>
      <c r="C298" s="37">
        <f t="shared" si="6"/>
        <v>12407521029</v>
      </c>
      <c r="D298" s="1" t="s">
        <v>177</v>
      </c>
      <c r="E298" s="1" t="s">
        <v>177</v>
      </c>
      <c r="F298" s="1" t="s">
        <v>177</v>
      </c>
      <c r="G298" s="1">
        <f>526492233</f>
        <v>526492233</v>
      </c>
      <c r="H298" s="1">
        <f>1607354279</f>
        <v>1607354279</v>
      </c>
      <c r="I298" s="1">
        <f>490036948</f>
        <v>490036948</v>
      </c>
      <c r="J298" s="33">
        <f>6391134470</f>
        <v>6391134470</v>
      </c>
      <c r="K298" s="1">
        <f>3392503099</f>
        <v>3392503099</v>
      </c>
      <c r="L298" s="1" t="s">
        <v>177</v>
      </c>
    </row>
    <row r="299" spans="1:12" s="4" customFormat="1" ht="27.6" x14ac:dyDescent="0.3">
      <c r="A299" s="160"/>
      <c r="B299" s="38" t="s">
        <v>458</v>
      </c>
      <c r="C299" s="37">
        <f t="shared" si="6"/>
        <v>393240880</v>
      </c>
      <c r="D299" s="1" t="s">
        <v>177</v>
      </c>
      <c r="E299" s="1" t="s">
        <v>177</v>
      </c>
      <c r="F299" s="1">
        <v>32460140</v>
      </c>
      <c r="G299" s="1">
        <f>56552409</f>
        <v>56552409</v>
      </c>
      <c r="H299" s="1">
        <f>40058312</f>
        <v>40058312</v>
      </c>
      <c r="I299" s="1">
        <f>40509768</f>
        <v>40509768</v>
      </c>
      <c r="J299" s="33">
        <f>140541752</f>
        <v>140541752</v>
      </c>
      <c r="K299" s="1">
        <f>83118499</f>
        <v>83118499</v>
      </c>
      <c r="L299" s="1" t="s">
        <v>177</v>
      </c>
    </row>
    <row r="300" spans="1:12" s="4" customFormat="1" x14ac:dyDescent="0.3">
      <c r="A300" s="160"/>
      <c r="B300" s="38" t="s">
        <v>459</v>
      </c>
      <c r="C300" s="37">
        <f t="shared" si="6"/>
        <v>15940254016</v>
      </c>
      <c r="D300" s="1" t="s">
        <v>177</v>
      </c>
      <c r="E300" s="1" t="s">
        <v>177</v>
      </c>
      <c r="F300" s="1" t="s">
        <v>177</v>
      </c>
      <c r="G300" s="1">
        <f>382828807</f>
        <v>382828807</v>
      </c>
      <c r="H300" s="1">
        <f>2653121155</f>
        <v>2653121155</v>
      </c>
      <c r="I300" s="1">
        <f>236804381</f>
        <v>236804381</v>
      </c>
      <c r="J300" s="33">
        <f>5774613408</f>
        <v>5774613408</v>
      </c>
      <c r="K300" s="1">
        <f>6892886265</f>
        <v>6892886265</v>
      </c>
      <c r="L300" s="1" t="s">
        <v>177</v>
      </c>
    </row>
    <row r="301" spans="1:12" s="4" customFormat="1" ht="27.6" x14ac:dyDescent="0.3">
      <c r="A301" s="160"/>
      <c r="B301" s="38" t="s">
        <v>460</v>
      </c>
      <c r="C301" s="37">
        <f t="shared" si="6"/>
        <v>563423872</v>
      </c>
      <c r="D301" s="1" t="s">
        <v>177</v>
      </c>
      <c r="E301" s="1" t="s">
        <v>177</v>
      </c>
      <c r="F301" s="1" t="s">
        <v>177</v>
      </c>
      <c r="G301" s="1">
        <v>74245789</v>
      </c>
      <c r="H301" s="1">
        <f>35123091</f>
        <v>35123091</v>
      </c>
      <c r="I301" s="1">
        <v>37684506</v>
      </c>
      <c r="J301" s="33">
        <f>168031355</f>
        <v>168031355</v>
      </c>
      <c r="K301" s="1">
        <f>248339131</f>
        <v>248339131</v>
      </c>
      <c r="L301" s="1" t="s">
        <v>177</v>
      </c>
    </row>
    <row r="302" spans="1:12" s="4" customFormat="1" ht="27.6" x14ac:dyDescent="0.3">
      <c r="A302" s="161"/>
      <c r="B302" s="38" t="s">
        <v>461</v>
      </c>
      <c r="C302" s="37">
        <f t="shared" si="6"/>
        <v>2287958956</v>
      </c>
      <c r="D302" s="1" t="s">
        <v>177</v>
      </c>
      <c r="E302" s="1" t="s">
        <v>177</v>
      </c>
      <c r="F302" s="1">
        <v>48092669</v>
      </c>
      <c r="G302" s="1">
        <v>699278834</v>
      </c>
      <c r="H302" s="1">
        <f>479301679</f>
        <v>479301679</v>
      </c>
      <c r="I302" s="1">
        <f>121327394</f>
        <v>121327394</v>
      </c>
      <c r="J302" s="33">
        <f>577420344</f>
        <v>577420344</v>
      </c>
      <c r="K302" s="1">
        <f>362538036</f>
        <v>362538036</v>
      </c>
      <c r="L302" s="1" t="s">
        <v>177</v>
      </c>
    </row>
    <row r="303" spans="1:12" s="4" customFormat="1" x14ac:dyDescent="0.3">
      <c r="A303" s="159" t="s">
        <v>110</v>
      </c>
      <c r="B303" s="22" t="s">
        <v>462</v>
      </c>
      <c r="C303" s="37">
        <f t="shared" si="6"/>
        <v>4050402826</v>
      </c>
      <c r="D303" s="1" t="s">
        <v>177</v>
      </c>
      <c r="E303" s="1" t="s">
        <v>177</v>
      </c>
      <c r="F303" s="1" t="s">
        <v>177</v>
      </c>
      <c r="G303" s="1" t="s">
        <v>177</v>
      </c>
      <c r="H303" s="1">
        <f>534844754</f>
        <v>534844754</v>
      </c>
      <c r="I303" s="1">
        <f>446739246</f>
        <v>446739246</v>
      </c>
      <c r="J303" s="33">
        <f>1523095024</f>
        <v>1523095024</v>
      </c>
      <c r="K303" s="1">
        <f>468583869</f>
        <v>468583869</v>
      </c>
      <c r="L303" s="1">
        <f>1077139933</f>
        <v>1077139933</v>
      </c>
    </row>
    <row r="304" spans="1:12" s="4" customFormat="1" x14ac:dyDescent="0.3">
      <c r="A304" s="160"/>
      <c r="B304" s="86" t="s">
        <v>463</v>
      </c>
      <c r="C304" s="37">
        <f t="shared" si="6"/>
        <v>1292505735</v>
      </c>
      <c r="D304" s="1" t="s">
        <v>177</v>
      </c>
      <c r="E304" s="1" t="s">
        <v>177</v>
      </c>
      <c r="F304" s="1" t="s">
        <v>177</v>
      </c>
      <c r="G304" s="1" t="s">
        <v>177</v>
      </c>
      <c r="H304" s="1">
        <f>141521800</f>
        <v>141521800</v>
      </c>
      <c r="I304" s="1">
        <f>193661555</f>
        <v>193661555</v>
      </c>
      <c r="J304" s="33">
        <f>475978135</f>
        <v>475978135</v>
      </c>
      <c r="K304" s="1">
        <f>146478001</f>
        <v>146478001</v>
      </c>
      <c r="L304" s="1">
        <f>334866244</f>
        <v>334866244</v>
      </c>
    </row>
    <row r="305" spans="1:12" s="4" customFormat="1" ht="27.6" x14ac:dyDescent="0.3">
      <c r="A305" s="160"/>
      <c r="B305" s="86" t="s">
        <v>464</v>
      </c>
      <c r="C305" s="37">
        <f t="shared" si="6"/>
        <v>9821111994</v>
      </c>
      <c r="D305" s="1" t="s">
        <v>177</v>
      </c>
      <c r="E305" s="1" t="s">
        <v>635</v>
      </c>
      <c r="F305" s="1">
        <v>1098229376</v>
      </c>
      <c r="G305" s="1" t="s">
        <v>177</v>
      </c>
      <c r="H305" s="1">
        <f>1435083899</f>
        <v>1435083899</v>
      </c>
      <c r="I305" s="1">
        <f>1081216579</f>
        <v>1081216579</v>
      </c>
      <c r="J305" s="33">
        <f>3569760018</f>
        <v>3569760018</v>
      </c>
      <c r="K305" s="1">
        <f>436822122</f>
        <v>436822122</v>
      </c>
      <c r="L305" s="1">
        <f>2200000000</f>
        <v>2200000000</v>
      </c>
    </row>
    <row r="306" spans="1:12" s="4" customFormat="1" x14ac:dyDescent="0.3">
      <c r="A306" s="160"/>
      <c r="B306" s="22" t="s">
        <v>208</v>
      </c>
      <c r="C306" s="37">
        <f t="shared" si="6"/>
        <v>7000000000</v>
      </c>
      <c r="D306" s="1" t="s">
        <v>177</v>
      </c>
      <c r="E306" s="1" t="s">
        <v>177</v>
      </c>
      <c r="F306" s="1" t="s">
        <v>177</v>
      </c>
      <c r="G306" s="1" t="s">
        <v>177</v>
      </c>
      <c r="H306" s="1" t="s">
        <v>177</v>
      </c>
      <c r="I306" s="1" t="s">
        <v>177</v>
      </c>
      <c r="J306" s="1" t="s">
        <v>177</v>
      </c>
      <c r="K306" s="1">
        <f>4000000000</f>
        <v>4000000000</v>
      </c>
      <c r="L306" s="1">
        <f>3000000000</f>
        <v>3000000000</v>
      </c>
    </row>
    <row r="307" spans="1:12" s="4" customFormat="1" x14ac:dyDescent="0.3">
      <c r="A307" s="160"/>
      <c r="B307" s="22" t="s">
        <v>92</v>
      </c>
      <c r="C307" s="37">
        <f t="shared" si="6"/>
        <v>15513119677</v>
      </c>
      <c r="D307" s="1" t="s">
        <v>177</v>
      </c>
      <c r="E307" s="1" t="s">
        <v>177</v>
      </c>
      <c r="F307" s="1" t="s">
        <v>177</v>
      </c>
      <c r="G307" s="1" t="s">
        <v>177</v>
      </c>
      <c r="H307" s="1" t="s">
        <v>177</v>
      </c>
      <c r="I307" s="1" t="s">
        <v>177</v>
      </c>
      <c r="J307" s="33">
        <f>7528854794</f>
        <v>7528854794</v>
      </c>
      <c r="K307" s="1">
        <f>7452099951</f>
        <v>7452099951</v>
      </c>
      <c r="L307" s="1">
        <f>532164932</f>
        <v>532164932</v>
      </c>
    </row>
    <row r="308" spans="1:12" s="4" customFormat="1" ht="27.6" x14ac:dyDescent="0.3">
      <c r="A308" s="160"/>
      <c r="B308" s="22" t="s">
        <v>465</v>
      </c>
      <c r="C308" s="37">
        <f t="shared" si="6"/>
        <v>5347620483</v>
      </c>
      <c r="D308" s="1" t="s">
        <v>177</v>
      </c>
      <c r="E308" s="1" t="s">
        <v>177</v>
      </c>
      <c r="F308" s="1" t="s">
        <v>177</v>
      </c>
      <c r="G308" s="1" t="s">
        <v>177</v>
      </c>
      <c r="H308" s="1">
        <f>221815788</f>
        <v>221815788</v>
      </c>
      <c r="I308" s="1">
        <f>962586748</f>
        <v>962586748</v>
      </c>
      <c r="J308" s="33">
        <f>1641774601</f>
        <v>1641774601</v>
      </c>
      <c r="K308" s="1">
        <f>990123286</f>
        <v>990123286</v>
      </c>
      <c r="L308" s="1">
        <f>1531320060</f>
        <v>1531320060</v>
      </c>
    </row>
    <row r="309" spans="1:12" s="4" customFormat="1" x14ac:dyDescent="0.3">
      <c r="A309" s="160"/>
      <c r="B309" s="22" t="s">
        <v>466</v>
      </c>
      <c r="C309" s="37">
        <f t="shared" si="6"/>
        <v>1012649734</v>
      </c>
      <c r="D309" s="1" t="s">
        <v>177</v>
      </c>
      <c r="E309" s="1" t="s">
        <v>177</v>
      </c>
      <c r="F309" s="1" t="s">
        <v>177</v>
      </c>
      <c r="G309" s="1" t="s">
        <v>177</v>
      </c>
      <c r="H309" s="1" t="s">
        <v>177</v>
      </c>
      <c r="I309" s="1" t="s">
        <v>177</v>
      </c>
      <c r="J309" s="33">
        <f>438308364</f>
        <v>438308364</v>
      </c>
      <c r="K309" s="1">
        <f>319716949</f>
        <v>319716949</v>
      </c>
      <c r="L309" s="1">
        <f>254624421</f>
        <v>254624421</v>
      </c>
    </row>
    <row r="310" spans="1:12" s="4" customFormat="1" ht="27.6" x14ac:dyDescent="0.3">
      <c r="A310" s="160"/>
      <c r="B310" s="38" t="s">
        <v>467</v>
      </c>
      <c r="C310" s="37">
        <f t="shared" si="6"/>
        <v>809160990</v>
      </c>
      <c r="D310" s="1" t="s">
        <v>177</v>
      </c>
      <c r="E310" s="1" t="s">
        <v>177</v>
      </c>
      <c r="F310" s="1">
        <v>22352022</v>
      </c>
      <c r="G310" s="1" t="s">
        <v>177</v>
      </c>
      <c r="H310" s="1">
        <f>35895016</f>
        <v>35895016</v>
      </c>
      <c r="I310" s="1">
        <f>87923112</f>
        <v>87923112</v>
      </c>
      <c r="J310" s="33">
        <f>281626957</f>
        <v>281626957</v>
      </c>
      <c r="K310" s="1">
        <f>331363883</f>
        <v>331363883</v>
      </c>
      <c r="L310" s="1">
        <f>50000000</f>
        <v>50000000</v>
      </c>
    </row>
    <row r="311" spans="1:12" s="4" customFormat="1" x14ac:dyDescent="0.3">
      <c r="A311" s="160"/>
      <c r="B311" s="38" t="s">
        <v>209</v>
      </c>
      <c r="C311" s="37">
        <f t="shared" si="6"/>
        <v>14607546098</v>
      </c>
      <c r="D311" s="1" t="s">
        <v>177</v>
      </c>
      <c r="E311" s="1" t="s">
        <v>177</v>
      </c>
      <c r="F311" s="1">
        <v>362557125</v>
      </c>
      <c r="G311" s="1">
        <f>733963922</f>
        <v>733963922</v>
      </c>
      <c r="H311" s="1">
        <f>715960694</f>
        <v>715960694</v>
      </c>
      <c r="I311" s="1">
        <f>2088623728</f>
        <v>2088623728</v>
      </c>
      <c r="J311" s="33">
        <f>3638016029</f>
        <v>3638016029</v>
      </c>
      <c r="K311" s="1">
        <f>6768424600</f>
        <v>6768424600</v>
      </c>
      <c r="L311" s="1">
        <f>300000000</f>
        <v>300000000</v>
      </c>
    </row>
    <row r="312" spans="1:12" s="4" customFormat="1" x14ac:dyDescent="0.3">
      <c r="A312" s="161"/>
      <c r="B312" s="38" t="s">
        <v>468</v>
      </c>
      <c r="C312" s="37">
        <f t="shared" si="6"/>
        <v>191218956</v>
      </c>
      <c r="D312" s="1" t="s">
        <v>177</v>
      </c>
      <c r="E312" s="1" t="s">
        <v>177</v>
      </c>
      <c r="F312" s="1" t="s">
        <v>177</v>
      </c>
      <c r="G312" s="1" t="s">
        <v>177</v>
      </c>
      <c r="H312" s="1" t="s">
        <v>177</v>
      </c>
      <c r="I312" s="1" t="s">
        <v>177</v>
      </c>
      <c r="J312" s="1" t="s">
        <v>177</v>
      </c>
      <c r="K312" s="1" t="s">
        <v>177</v>
      </c>
      <c r="L312" s="1">
        <f>191218956</f>
        <v>191218956</v>
      </c>
    </row>
    <row r="313" spans="1:12" s="4" customFormat="1" ht="27.6" x14ac:dyDescent="0.3">
      <c r="A313" s="159" t="s">
        <v>585</v>
      </c>
      <c r="B313" s="22" t="s">
        <v>469</v>
      </c>
      <c r="C313" s="37">
        <f t="shared" si="6"/>
        <v>26785971927</v>
      </c>
      <c r="D313" s="1" t="s">
        <v>177</v>
      </c>
      <c r="E313" s="1">
        <v>289145085</v>
      </c>
      <c r="F313" s="1">
        <v>1218590503</v>
      </c>
      <c r="G313" s="1">
        <f>2256400445</f>
        <v>2256400445</v>
      </c>
      <c r="H313" s="1">
        <f>1793863162</f>
        <v>1793863162</v>
      </c>
      <c r="I313" s="1">
        <f>2589990837</f>
        <v>2589990837</v>
      </c>
      <c r="J313" s="33">
        <f>5919881411</f>
        <v>5919881411</v>
      </c>
      <c r="K313" s="1">
        <f>6396074131</f>
        <v>6396074131</v>
      </c>
      <c r="L313" s="1">
        <f>6322026353</f>
        <v>6322026353</v>
      </c>
    </row>
    <row r="314" spans="1:12" s="4" customFormat="1" ht="27.6" x14ac:dyDescent="0.3">
      <c r="A314" s="160"/>
      <c r="B314" s="38" t="s">
        <v>470</v>
      </c>
      <c r="C314" s="37">
        <f t="shared" si="6"/>
        <v>6432172593</v>
      </c>
      <c r="D314" s="1" t="s">
        <v>177</v>
      </c>
      <c r="E314" s="1" t="s">
        <v>177</v>
      </c>
      <c r="F314" s="1">
        <v>514526848</v>
      </c>
      <c r="G314" s="1">
        <f>462115093</f>
        <v>462115093</v>
      </c>
      <c r="H314" s="1">
        <f>382274848</f>
        <v>382274848</v>
      </c>
      <c r="I314" s="1">
        <f>714448622</f>
        <v>714448622</v>
      </c>
      <c r="J314" s="33">
        <f>1133690175</f>
        <v>1133690175</v>
      </c>
      <c r="K314" s="1">
        <f>1879324972</f>
        <v>1879324972</v>
      </c>
      <c r="L314" s="1">
        <f>1345792035</f>
        <v>1345792035</v>
      </c>
    </row>
    <row r="315" spans="1:12" s="4" customFormat="1" ht="27.6" x14ac:dyDescent="0.3">
      <c r="A315" s="159" t="s">
        <v>53</v>
      </c>
      <c r="B315" s="22" t="s">
        <v>471</v>
      </c>
      <c r="C315" s="37">
        <f t="shared" si="6"/>
        <v>15053907061</v>
      </c>
      <c r="D315" s="1" t="s">
        <v>177</v>
      </c>
      <c r="E315" s="1">
        <v>500000000</v>
      </c>
      <c r="F315" s="1">
        <v>659731508</v>
      </c>
      <c r="G315" s="1">
        <f>1685966319</f>
        <v>1685966319</v>
      </c>
      <c r="H315" s="1">
        <f>840375174</f>
        <v>840375174</v>
      </c>
      <c r="I315" s="1">
        <f>2075691538</f>
        <v>2075691538</v>
      </c>
      <c r="J315" s="33">
        <f>3198011409</f>
        <v>3198011409</v>
      </c>
      <c r="K315" s="1">
        <f>4840600747</f>
        <v>4840600747</v>
      </c>
      <c r="L315" s="1">
        <f>1253530366</f>
        <v>1253530366</v>
      </c>
    </row>
    <row r="316" spans="1:12" s="4" customFormat="1" ht="27.6" x14ac:dyDescent="0.3">
      <c r="A316" s="160"/>
      <c r="B316" s="38" t="s">
        <v>472</v>
      </c>
      <c r="C316" s="37">
        <f t="shared" si="6"/>
        <v>2123452473</v>
      </c>
      <c r="D316" s="1" t="s">
        <v>177</v>
      </c>
      <c r="E316" s="1">
        <v>17940262</v>
      </c>
      <c r="F316" s="1" t="s">
        <v>177</v>
      </c>
      <c r="G316" s="1">
        <f>190650156</f>
        <v>190650156</v>
      </c>
      <c r="H316" s="1">
        <f>170788480</f>
        <v>170788480</v>
      </c>
      <c r="I316" s="1">
        <f>181026676</f>
        <v>181026676</v>
      </c>
      <c r="J316" s="33">
        <f>327829657</f>
        <v>327829657</v>
      </c>
      <c r="K316" s="1">
        <f>881600489</f>
        <v>881600489</v>
      </c>
      <c r="L316" s="1">
        <f>353616753</f>
        <v>353616753</v>
      </c>
    </row>
    <row r="317" spans="1:12" s="4" customFormat="1" ht="15" customHeight="1" x14ac:dyDescent="0.3">
      <c r="A317" s="159" t="s">
        <v>586</v>
      </c>
      <c r="B317" s="22" t="s">
        <v>473</v>
      </c>
      <c r="C317" s="37">
        <f t="shared" si="6"/>
        <v>63529542215</v>
      </c>
      <c r="D317" s="1" t="s">
        <v>177</v>
      </c>
      <c r="E317" s="1">
        <v>33443580</v>
      </c>
      <c r="F317" s="1">
        <v>951735320</v>
      </c>
      <c r="G317" s="1">
        <f>5459366542</f>
        <v>5459366542</v>
      </c>
      <c r="H317" s="1">
        <f>3077962354</f>
        <v>3077962354</v>
      </c>
      <c r="I317" s="1">
        <v>7213277323</v>
      </c>
      <c r="J317" s="33">
        <f>19588367799</f>
        <v>19588367799</v>
      </c>
      <c r="K317" s="1">
        <f>9436086655</f>
        <v>9436086655</v>
      </c>
      <c r="L317" s="1">
        <f>17769302642</f>
        <v>17769302642</v>
      </c>
    </row>
    <row r="318" spans="1:12" s="4" customFormat="1" ht="27.6" x14ac:dyDescent="0.3">
      <c r="A318" s="160"/>
      <c r="B318" s="38" t="s">
        <v>474</v>
      </c>
      <c r="C318" s="37">
        <f t="shared" si="6"/>
        <v>5896987599</v>
      </c>
      <c r="D318" s="1" t="s">
        <v>177</v>
      </c>
      <c r="E318" s="1">
        <v>221730130</v>
      </c>
      <c r="F318" s="1">
        <v>521716284</v>
      </c>
      <c r="G318" s="1">
        <f>311087200</f>
        <v>311087200</v>
      </c>
      <c r="H318" s="1">
        <v>311087200</v>
      </c>
      <c r="I318" s="1">
        <f>610266459</f>
        <v>610266459</v>
      </c>
      <c r="J318" s="33">
        <f>1306566240</f>
        <v>1306566240</v>
      </c>
      <c r="K318" s="1">
        <f>1680735114</f>
        <v>1680735114</v>
      </c>
      <c r="L318" s="1">
        <f>933798972</f>
        <v>933798972</v>
      </c>
    </row>
    <row r="319" spans="1:12" s="4" customFormat="1" x14ac:dyDescent="0.3">
      <c r="A319" s="160"/>
      <c r="B319" s="38" t="s">
        <v>475</v>
      </c>
      <c r="C319" s="37">
        <f t="shared" si="6"/>
        <v>7210817140</v>
      </c>
      <c r="D319" s="1" t="s">
        <v>177</v>
      </c>
      <c r="E319" s="1">
        <v>81158175</v>
      </c>
      <c r="F319" s="1">
        <v>1414725692</v>
      </c>
      <c r="G319" s="1">
        <f>121737263</f>
        <v>121737263</v>
      </c>
      <c r="H319" s="1">
        <v>280396955</v>
      </c>
      <c r="I319" s="1">
        <f>413485214</f>
        <v>413485214</v>
      </c>
      <c r="J319" s="33">
        <f>1177667211</f>
        <v>1177667211</v>
      </c>
      <c r="K319" s="1">
        <f>2487128730</f>
        <v>2487128730</v>
      </c>
      <c r="L319" s="1">
        <f>1234517900</f>
        <v>1234517900</v>
      </c>
    </row>
    <row r="320" spans="1:12" s="4" customFormat="1" ht="27.6" x14ac:dyDescent="0.3">
      <c r="A320" s="160"/>
      <c r="B320" s="38" t="s">
        <v>476</v>
      </c>
      <c r="C320" s="37">
        <f t="shared" si="6"/>
        <v>965111283</v>
      </c>
      <c r="D320" s="1" t="s">
        <v>177</v>
      </c>
      <c r="E320" s="1">
        <v>47513428</v>
      </c>
      <c r="F320" s="1">
        <v>420517330</v>
      </c>
      <c r="G320" s="1">
        <f>47338779</f>
        <v>47338779</v>
      </c>
      <c r="H320" s="1">
        <f>47338779</f>
        <v>47338779</v>
      </c>
      <c r="I320" s="1"/>
      <c r="J320" s="33">
        <f>122930130</f>
        <v>122930130</v>
      </c>
      <c r="K320" s="1">
        <f>185434270</f>
        <v>185434270</v>
      </c>
      <c r="L320" s="1">
        <f>94038567</f>
        <v>94038567</v>
      </c>
    </row>
    <row r="321" spans="1:12" s="4" customFormat="1" x14ac:dyDescent="0.3">
      <c r="A321" s="160"/>
      <c r="B321" s="38" t="s">
        <v>210</v>
      </c>
      <c r="C321" s="37">
        <f t="shared" si="6"/>
        <v>12082063675</v>
      </c>
      <c r="D321" s="1" t="s">
        <v>177</v>
      </c>
      <c r="E321" s="1" t="s">
        <v>177</v>
      </c>
      <c r="F321" s="1" t="s">
        <v>177</v>
      </c>
      <c r="G321" s="1" t="s">
        <v>177</v>
      </c>
      <c r="H321" s="1" t="s">
        <v>177</v>
      </c>
      <c r="I321" s="1">
        <f>3250000000</f>
        <v>3250000000</v>
      </c>
      <c r="J321" s="33">
        <f>2944021225</f>
        <v>2944021225</v>
      </c>
      <c r="K321" s="1">
        <f>2944021225</f>
        <v>2944021225</v>
      </c>
      <c r="L321" s="1">
        <f>2944021225</f>
        <v>2944021225</v>
      </c>
    </row>
    <row r="322" spans="1:12" s="4" customFormat="1" x14ac:dyDescent="0.3">
      <c r="A322" s="160"/>
      <c r="B322" s="38" t="s">
        <v>477</v>
      </c>
      <c r="C322" s="37">
        <f t="shared" si="6"/>
        <v>476397001</v>
      </c>
      <c r="D322" s="1" t="s">
        <v>177</v>
      </c>
      <c r="E322" s="1">
        <v>13171836</v>
      </c>
      <c r="F322" s="1">
        <v>60283519</v>
      </c>
      <c r="G322" s="1" t="s">
        <v>177</v>
      </c>
      <c r="H322" s="1" t="s">
        <v>177</v>
      </c>
      <c r="I322" s="1" t="s">
        <v>177</v>
      </c>
      <c r="J322" s="1" t="s">
        <v>177</v>
      </c>
      <c r="K322" s="1">
        <f>402941646</f>
        <v>402941646</v>
      </c>
      <c r="L322" s="1" t="s">
        <v>177</v>
      </c>
    </row>
    <row r="323" spans="1:12" s="4" customFormat="1" x14ac:dyDescent="0.3">
      <c r="A323" s="160"/>
      <c r="B323" s="38" t="s">
        <v>478</v>
      </c>
      <c r="C323" s="37">
        <f t="shared" si="6"/>
        <v>11917780489</v>
      </c>
      <c r="D323" s="1" t="s">
        <v>177</v>
      </c>
      <c r="E323" s="1" t="s">
        <v>177</v>
      </c>
      <c r="F323" s="1" t="s">
        <v>177</v>
      </c>
      <c r="G323" s="1" t="s">
        <v>177</v>
      </c>
      <c r="H323" s="1" t="s">
        <v>177</v>
      </c>
      <c r="I323" s="1" t="s">
        <v>177</v>
      </c>
      <c r="J323" s="33">
        <f>8192208430</f>
        <v>8192208430</v>
      </c>
      <c r="K323" s="1">
        <f>3725572059</f>
        <v>3725572059</v>
      </c>
      <c r="L323" s="1" t="s">
        <v>177</v>
      </c>
    </row>
    <row r="324" spans="1:12" s="4" customFormat="1" ht="27.6" x14ac:dyDescent="0.3">
      <c r="A324" s="160"/>
      <c r="B324" s="38" t="s">
        <v>479</v>
      </c>
      <c r="C324" s="37">
        <f t="shared" si="6"/>
        <v>39175860862</v>
      </c>
      <c r="D324" s="1" t="s">
        <v>177</v>
      </c>
      <c r="E324" s="1">
        <v>885542379</v>
      </c>
      <c r="F324" s="1">
        <v>950783250</v>
      </c>
      <c r="G324" s="1">
        <f>3453384716</f>
        <v>3453384716</v>
      </c>
      <c r="H324" s="1">
        <f>3453384716</f>
        <v>3453384716</v>
      </c>
      <c r="I324" s="1">
        <f>2000000000</f>
        <v>2000000000</v>
      </c>
      <c r="J324" s="33">
        <f>7066033218</f>
        <v>7066033218</v>
      </c>
      <c r="K324" s="1">
        <f>18748210011</f>
        <v>18748210011</v>
      </c>
      <c r="L324" s="1">
        <f>2618522572</f>
        <v>2618522572</v>
      </c>
    </row>
    <row r="325" spans="1:12" s="4" customFormat="1" x14ac:dyDescent="0.3">
      <c r="A325" s="160"/>
      <c r="B325" s="38" t="s">
        <v>480</v>
      </c>
      <c r="C325" s="37">
        <f t="shared" si="6"/>
        <v>1120617566</v>
      </c>
      <c r="D325" s="1" t="s">
        <v>177</v>
      </c>
      <c r="E325" s="1">
        <v>114581861</v>
      </c>
      <c r="F325" s="1">
        <v>177128831</v>
      </c>
      <c r="G325" s="1">
        <f>79028939</f>
        <v>79028939</v>
      </c>
      <c r="H325" s="1">
        <f>79028939</f>
        <v>79028939</v>
      </c>
      <c r="I325" s="1">
        <f>124968626</f>
        <v>124968626</v>
      </c>
      <c r="J325" s="33">
        <f>331921545</f>
        <v>331921545</v>
      </c>
      <c r="K325" s="1">
        <f>157072808</f>
        <v>157072808</v>
      </c>
      <c r="L325" s="1">
        <f>56886017</f>
        <v>56886017</v>
      </c>
    </row>
    <row r="326" spans="1:12" s="4" customFormat="1" ht="27.6" x14ac:dyDescent="0.3">
      <c r="A326" s="160"/>
      <c r="B326" s="38" t="s">
        <v>211</v>
      </c>
      <c r="C326" s="37">
        <f t="shared" ref="C326:C383" si="7">SUM(D326:L326)</f>
        <v>136933297216</v>
      </c>
      <c r="D326" s="1" t="s">
        <v>177</v>
      </c>
      <c r="E326" s="1" t="s">
        <v>177</v>
      </c>
      <c r="F326" s="1" t="s">
        <v>177</v>
      </c>
      <c r="G326" s="1" t="s">
        <v>177</v>
      </c>
      <c r="H326" s="1" t="s">
        <v>177</v>
      </c>
      <c r="I326" s="1">
        <f>26400300769</f>
        <v>26400300769</v>
      </c>
      <c r="J326" s="33">
        <f>36844332149</f>
        <v>36844332149</v>
      </c>
      <c r="K326" s="1">
        <f>36844332149</f>
        <v>36844332149</v>
      </c>
      <c r="L326" s="1">
        <f>36844332149</f>
        <v>36844332149</v>
      </c>
    </row>
    <row r="327" spans="1:12" s="4" customFormat="1" x14ac:dyDescent="0.3">
      <c r="A327" s="160"/>
      <c r="B327" s="38" t="s">
        <v>481</v>
      </c>
      <c r="C327" s="37">
        <f t="shared" si="7"/>
        <v>138343579688</v>
      </c>
      <c r="D327" s="1" t="s">
        <v>177</v>
      </c>
      <c r="E327" s="1">
        <v>1018933581</v>
      </c>
      <c r="F327" s="1">
        <v>5137391601</v>
      </c>
      <c r="G327" s="1">
        <f>6706087402</f>
        <v>6706087402</v>
      </c>
      <c r="H327" s="1">
        <f>8766693477</f>
        <v>8766693477</v>
      </c>
      <c r="I327" s="1">
        <f>17198161772</f>
        <v>17198161772</v>
      </c>
      <c r="J327" s="33">
        <f>18288687280</f>
        <v>18288687280</v>
      </c>
      <c r="K327" s="1">
        <f>60437950389</f>
        <v>60437950389</v>
      </c>
      <c r="L327" s="1">
        <f>20789674186</f>
        <v>20789674186</v>
      </c>
    </row>
    <row r="328" spans="1:12" s="4" customFormat="1" x14ac:dyDescent="0.3">
      <c r="A328" s="160"/>
      <c r="B328" s="38" t="s">
        <v>483</v>
      </c>
      <c r="C328" s="37">
        <f t="shared" si="7"/>
        <v>26667481565</v>
      </c>
      <c r="D328" s="1" t="s">
        <v>177</v>
      </c>
      <c r="E328" s="1">
        <v>571520503</v>
      </c>
      <c r="F328" s="1">
        <v>2202546342</v>
      </c>
      <c r="G328" s="1" t="s">
        <v>177</v>
      </c>
      <c r="H328" s="1">
        <f>399794343</f>
        <v>399794343</v>
      </c>
      <c r="I328" s="1" t="s">
        <v>177</v>
      </c>
      <c r="J328" s="1" t="s">
        <v>177</v>
      </c>
      <c r="K328" s="1" t="s">
        <v>177</v>
      </c>
      <c r="L328" s="1">
        <f>23493620377</f>
        <v>23493620377</v>
      </c>
    </row>
    <row r="329" spans="1:12" s="4" customFormat="1" x14ac:dyDescent="0.3">
      <c r="A329" s="160"/>
      <c r="B329" s="38" t="s">
        <v>484</v>
      </c>
      <c r="C329" s="37">
        <f t="shared" si="7"/>
        <v>197551885728</v>
      </c>
      <c r="D329" s="1" t="s">
        <v>177</v>
      </c>
      <c r="E329" s="1">
        <v>76206071</v>
      </c>
      <c r="F329" s="1">
        <v>1783829570</v>
      </c>
      <c r="G329" s="1">
        <f>2590650705</f>
        <v>2590650705</v>
      </c>
      <c r="H329" s="1">
        <v>2590650705</v>
      </c>
      <c r="I329" s="1">
        <f>54448713677</f>
        <v>54448713677</v>
      </c>
      <c r="J329" s="33">
        <f>45353945000</f>
        <v>45353945000</v>
      </c>
      <c r="K329" s="1">
        <f>45353945000</f>
        <v>45353945000</v>
      </c>
      <c r="L329" s="1">
        <f>45353945000</f>
        <v>45353945000</v>
      </c>
    </row>
    <row r="330" spans="1:12" s="4" customFormat="1" x14ac:dyDescent="0.3">
      <c r="A330" s="160"/>
      <c r="B330" s="38" t="s">
        <v>485</v>
      </c>
      <c r="C330" s="37">
        <f t="shared" si="7"/>
        <v>983215335</v>
      </c>
      <c r="D330" s="1" t="s">
        <v>177</v>
      </c>
      <c r="E330" s="1">
        <v>54025014</v>
      </c>
      <c r="F330" s="1">
        <v>160515817</v>
      </c>
      <c r="G330" s="1">
        <f>63422679</f>
        <v>63422679</v>
      </c>
      <c r="H330" s="1">
        <f>63422679</f>
        <v>63422679</v>
      </c>
      <c r="I330" s="1">
        <f>71527530</f>
        <v>71527530</v>
      </c>
      <c r="J330" s="33">
        <f>266375253</f>
        <v>266375253</v>
      </c>
      <c r="K330" s="1">
        <f>161648809</f>
        <v>161648809</v>
      </c>
      <c r="L330" s="1">
        <f>142277554</f>
        <v>142277554</v>
      </c>
    </row>
    <row r="331" spans="1:12" s="4" customFormat="1" x14ac:dyDescent="0.3">
      <c r="A331" s="160"/>
      <c r="B331" s="38" t="s">
        <v>486</v>
      </c>
      <c r="C331" s="37">
        <f t="shared" si="7"/>
        <v>29755199239</v>
      </c>
      <c r="D331" s="1" t="s">
        <v>177</v>
      </c>
      <c r="E331" s="1">
        <v>1703979225</v>
      </c>
      <c r="F331" s="1">
        <v>548725554</v>
      </c>
      <c r="G331" s="1">
        <f>823088331</f>
        <v>823088331</v>
      </c>
      <c r="H331" s="1">
        <f>2622811981</f>
        <v>2622811981</v>
      </c>
      <c r="I331" s="1" t="s">
        <v>177</v>
      </c>
      <c r="J331" s="33">
        <f>6512749219</f>
        <v>6512749219</v>
      </c>
      <c r="K331" s="1">
        <f>11309853295</f>
        <v>11309853295</v>
      </c>
      <c r="L331" s="1">
        <f>6233991634</f>
        <v>6233991634</v>
      </c>
    </row>
    <row r="332" spans="1:12" s="4" customFormat="1" ht="27.6" x14ac:dyDescent="0.3">
      <c r="A332" s="160"/>
      <c r="B332" s="38" t="s">
        <v>487</v>
      </c>
      <c r="C332" s="37">
        <f t="shared" si="7"/>
        <v>15368740923</v>
      </c>
      <c r="D332" s="1" t="s">
        <v>177</v>
      </c>
      <c r="E332" s="1" t="s">
        <v>177</v>
      </c>
      <c r="F332" s="1" t="s">
        <v>177</v>
      </c>
      <c r="G332" s="1">
        <f>950000000</f>
        <v>950000000</v>
      </c>
      <c r="H332" s="1">
        <f>950000000</f>
        <v>950000000</v>
      </c>
      <c r="I332" s="1" t="s">
        <v>177</v>
      </c>
      <c r="J332" s="33">
        <f>4314742112</f>
        <v>4314742112</v>
      </c>
      <c r="K332" s="1">
        <f>9153998811</f>
        <v>9153998811</v>
      </c>
      <c r="L332" s="1" t="s">
        <v>177</v>
      </c>
    </row>
    <row r="333" spans="1:12" s="4" customFormat="1" x14ac:dyDescent="0.3">
      <c r="A333" s="160"/>
      <c r="B333" s="38" t="s">
        <v>488</v>
      </c>
      <c r="C333" s="37">
        <f t="shared" si="7"/>
        <v>3412996125</v>
      </c>
      <c r="D333" s="1" t="s">
        <v>177</v>
      </c>
      <c r="E333" s="1">
        <v>73791526</v>
      </c>
      <c r="F333" s="1">
        <v>1864943563</v>
      </c>
      <c r="G333" s="1">
        <f>20639161</f>
        <v>20639161</v>
      </c>
      <c r="H333" s="1">
        <f>20639161</f>
        <v>20639161</v>
      </c>
      <c r="I333" s="1" t="s">
        <v>177</v>
      </c>
      <c r="J333" s="1" t="s">
        <v>177</v>
      </c>
      <c r="K333" s="1">
        <f>1432982714</f>
        <v>1432982714</v>
      </c>
      <c r="L333" s="1" t="s">
        <v>177</v>
      </c>
    </row>
    <row r="334" spans="1:12" s="4" customFormat="1" ht="27.6" x14ac:dyDescent="0.3">
      <c r="A334" s="160"/>
      <c r="B334" s="38" t="s">
        <v>482</v>
      </c>
      <c r="C334" s="37">
        <f t="shared" si="7"/>
        <v>6587053501</v>
      </c>
      <c r="D334" s="1" t="s">
        <v>177</v>
      </c>
      <c r="E334" s="1">
        <v>120360039</v>
      </c>
      <c r="F334" s="1">
        <v>263956769</v>
      </c>
      <c r="G334" s="1">
        <f>395935154</f>
        <v>395935154</v>
      </c>
      <c r="H334" s="1">
        <f>511233772</f>
        <v>511233772</v>
      </c>
      <c r="I334" s="1" t="s">
        <v>177</v>
      </c>
      <c r="J334" s="33">
        <f>1754384391</f>
        <v>1754384391</v>
      </c>
      <c r="K334" s="1">
        <f>3090454334</f>
        <v>3090454334</v>
      </c>
      <c r="L334" s="1">
        <v>450729042</v>
      </c>
    </row>
    <row r="335" spans="1:12" s="4" customFormat="1" ht="27.6" x14ac:dyDescent="0.3">
      <c r="A335" s="160"/>
      <c r="B335" s="38" t="s">
        <v>489</v>
      </c>
      <c r="C335" s="37">
        <f t="shared" si="7"/>
        <v>436198734</v>
      </c>
      <c r="D335" s="1" t="s">
        <v>177</v>
      </c>
      <c r="E335" s="1">
        <v>21417765</v>
      </c>
      <c r="F335" s="1">
        <v>35523053</v>
      </c>
      <c r="G335" s="1">
        <f>6314954</f>
        <v>6314954</v>
      </c>
      <c r="H335" s="1">
        <f>6314954</f>
        <v>6314954</v>
      </c>
      <c r="I335" s="1" t="s">
        <v>177</v>
      </c>
      <c r="J335" s="33">
        <f>27270532</f>
        <v>27270532</v>
      </c>
      <c r="K335" s="1">
        <f>218115464</f>
        <v>218115464</v>
      </c>
      <c r="L335" s="1">
        <v>121242012</v>
      </c>
    </row>
    <row r="336" spans="1:12" s="4" customFormat="1" ht="41.4" x14ac:dyDescent="0.3">
      <c r="A336" s="160"/>
      <c r="B336" s="38" t="s">
        <v>490</v>
      </c>
      <c r="C336" s="37">
        <f t="shared" si="7"/>
        <v>810696735</v>
      </c>
      <c r="D336" s="1" t="s">
        <v>177</v>
      </c>
      <c r="E336" s="1">
        <v>8958417</v>
      </c>
      <c r="F336" s="1">
        <v>264084529</v>
      </c>
      <c r="G336" s="1">
        <f>23633382</f>
        <v>23633382</v>
      </c>
      <c r="H336" s="1">
        <f>23633382</f>
        <v>23633382</v>
      </c>
      <c r="I336" s="1">
        <f>40263710</f>
        <v>40263710</v>
      </c>
      <c r="J336" s="33">
        <f>282829117</f>
        <v>282829117</v>
      </c>
      <c r="K336" s="1">
        <f>86846819</f>
        <v>86846819</v>
      </c>
      <c r="L336" s="1">
        <f>80447379</f>
        <v>80447379</v>
      </c>
    </row>
    <row r="337" spans="1:12" s="4" customFormat="1" ht="27.6" x14ac:dyDescent="0.3">
      <c r="A337" s="160"/>
      <c r="B337" s="38" t="s">
        <v>491</v>
      </c>
      <c r="C337" s="37">
        <f t="shared" si="7"/>
        <v>59336114457</v>
      </c>
      <c r="D337" s="1" t="s">
        <v>177</v>
      </c>
      <c r="E337" s="1">
        <v>1172251263</v>
      </c>
      <c r="F337" s="1">
        <v>1573575611</v>
      </c>
      <c r="G337" s="1">
        <f>5801553520</f>
        <v>5801553520</v>
      </c>
      <c r="H337" s="1">
        <f>2754480906</f>
        <v>2754480906</v>
      </c>
      <c r="I337" s="1">
        <f>3641133579</f>
        <v>3641133579</v>
      </c>
      <c r="J337" s="33">
        <f>13586827012</f>
        <v>13586827012</v>
      </c>
      <c r="K337" s="1">
        <f>24038153607</f>
        <v>24038153607</v>
      </c>
      <c r="L337" s="1">
        <f>6768138959</f>
        <v>6768138959</v>
      </c>
    </row>
    <row r="338" spans="1:12" s="4" customFormat="1" x14ac:dyDescent="0.3">
      <c r="A338" s="160"/>
      <c r="B338" s="38" t="s">
        <v>492</v>
      </c>
      <c r="C338" s="37">
        <f t="shared" si="7"/>
        <v>4357864767</v>
      </c>
      <c r="D338" s="1" t="s">
        <v>177</v>
      </c>
      <c r="E338" s="1">
        <v>42542913</v>
      </c>
      <c r="F338" s="1">
        <v>169273954</v>
      </c>
      <c r="G338" s="1">
        <f>131000000</f>
        <v>131000000</v>
      </c>
      <c r="H338" s="1">
        <f>131000000</f>
        <v>131000000</v>
      </c>
      <c r="I338" s="1"/>
      <c r="J338" s="33">
        <f>1408603083</f>
        <v>1408603083</v>
      </c>
      <c r="K338" s="1">
        <f>2082060240</f>
        <v>2082060240</v>
      </c>
      <c r="L338" s="1">
        <f>393384577</f>
        <v>393384577</v>
      </c>
    </row>
    <row r="339" spans="1:12" s="4" customFormat="1" x14ac:dyDescent="0.3">
      <c r="A339" s="160"/>
      <c r="B339" s="38" t="s">
        <v>493</v>
      </c>
      <c r="C339" s="37">
        <f t="shared" si="7"/>
        <v>442729759070</v>
      </c>
      <c r="D339" s="1" t="s">
        <v>177</v>
      </c>
      <c r="E339" s="1">
        <v>4677997984</v>
      </c>
      <c r="F339" s="1">
        <v>142822508</v>
      </c>
      <c r="G339" s="1">
        <f>4016996981</f>
        <v>4016996981</v>
      </c>
      <c r="H339" s="1">
        <f>6016996981</f>
        <v>6016996981</v>
      </c>
      <c r="I339" s="1">
        <f>52186282037</f>
        <v>52186282037</v>
      </c>
      <c r="J339" s="33">
        <f>125229554193</f>
        <v>125229554193</v>
      </c>
      <c r="K339" s="1">
        <f>125229554193</f>
        <v>125229554193</v>
      </c>
      <c r="L339" s="1">
        <f>125229554193</f>
        <v>125229554193</v>
      </c>
    </row>
    <row r="340" spans="1:12" s="4" customFormat="1" ht="27.6" x14ac:dyDescent="0.3">
      <c r="A340" s="160"/>
      <c r="B340" s="38" t="s">
        <v>494</v>
      </c>
      <c r="C340" s="37">
        <f t="shared" si="7"/>
        <v>5763176395</v>
      </c>
      <c r="D340" s="1" t="s">
        <v>177</v>
      </c>
      <c r="E340" s="1">
        <v>166460860</v>
      </c>
      <c r="F340" s="1">
        <v>62249945</v>
      </c>
      <c r="G340" s="1">
        <f>93374918</f>
        <v>93374918</v>
      </c>
      <c r="H340" s="1">
        <f>380340927</f>
        <v>380340927</v>
      </c>
      <c r="I340" s="1">
        <v>796714527</v>
      </c>
      <c r="J340" s="33">
        <f>1497431891</f>
        <v>1497431891</v>
      </c>
      <c r="K340" s="1">
        <f>2293474805</f>
        <v>2293474805</v>
      </c>
      <c r="L340" s="1">
        <f>473128522</f>
        <v>473128522</v>
      </c>
    </row>
    <row r="341" spans="1:12" s="4" customFormat="1" x14ac:dyDescent="0.3">
      <c r="A341" s="160"/>
      <c r="B341" s="38" t="s">
        <v>495</v>
      </c>
      <c r="C341" s="37">
        <f t="shared" si="7"/>
        <v>3367763417</v>
      </c>
      <c r="D341" s="1" t="s">
        <v>177</v>
      </c>
      <c r="E341" s="1">
        <v>73467313</v>
      </c>
      <c r="F341" s="1">
        <v>17086713</v>
      </c>
      <c r="G341" s="1">
        <f>257035249</f>
        <v>257035249</v>
      </c>
      <c r="H341" s="1">
        <f>257035249</f>
        <v>257035249</v>
      </c>
      <c r="I341" s="1">
        <f>289679689</f>
        <v>289679689</v>
      </c>
      <c r="J341" s="33">
        <f>1079548044</f>
        <v>1079548044</v>
      </c>
      <c r="K341" s="1">
        <f>803697702</f>
        <v>803697702</v>
      </c>
      <c r="L341" s="1">
        <f>590213458</f>
        <v>590213458</v>
      </c>
    </row>
    <row r="342" spans="1:12" s="4" customFormat="1" ht="27.6" x14ac:dyDescent="0.3">
      <c r="A342" s="160"/>
      <c r="B342" s="38" t="s">
        <v>212</v>
      </c>
      <c r="C342" s="37">
        <f t="shared" si="7"/>
        <v>209154516</v>
      </c>
      <c r="D342" s="1" t="s">
        <v>177</v>
      </c>
      <c r="E342" s="1">
        <v>2775694</v>
      </c>
      <c r="F342" s="1">
        <v>25527218</v>
      </c>
      <c r="G342" s="1" t="s">
        <v>177</v>
      </c>
      <c r="H342" s="1">
        <f>17400000</f>
        <v>17400000</v>
      </c>
      <c r="I342" s="1" t="s">
        <v>177</v>
      </c>
      <c r="J342" s="33">
        <f>76986879</f>
        <v>76986879</v>
      </c>
      <c r="K342" s="1">
        <f>76103131</f>
        <v>76103131</v>
      </c>
      <c r="L342" s="1">
        <f>10361594</f>
        <v>10361594</v>
      </c>
    </row>
    <row r="343" spans="1:12" s="4" customFormat="1" ht="27.6" x14ac:dyDescent="0.3">
      <c r="A343" s="160"/>
      <c r="B343" s="38" t="s">
        <v>496</v>
      </c>
      <c r="C343" s="37">
        <f t="shared" si="7"/>
        <v>4975594810</v>
      </c>
      <c r="D343" s="1" t="s">
        <v>177</v>
      </c>
      <c r="E343" s="1">
        <v>31662680</v>
      </c>
      <c r="F343" s="1">
        <v>31596141</v>
      </c>
      <c r="G343" s="1">
        <f>34143684</f>
        <v>34143684</v>
      </c>
      <c r="H343" s="1">
        <f>34143684</f>
        <v>34143684</v>
      </c>
      <c r="I343" s="1">
        <f>21698269</f>
        <v>21698269</v>
      </c>
      <c r="J343" s="33">
        <f>167908618</f>
        <v>167908618</v>
      </c>
      <c r="K343" s="1">
        <f>4654441734</f>
        <v>4654441734</v>
      </c>
      <c r="L343" s="1" t="s">
        <v>177</v>
      </c>
    </row>
    <row r="344" spans="1:12" s="4" customFormat="1" ht="27.6" x14ac:dyDescent="0.3">
      <c r="A344" s="160"/>
      <c r="B344" s="38" t="s">
        <v>497</v>
      </c>
      <c r="C344" s="37">
        <f t="shared" si="7"/>
        <v>2433056813</v>
      </c>
      <c r="D344" s="1" t="s">
        <v>177</v>
      </c>
      <c r="E344" s="1">
        <v>1656710</v>
      </c>
      <c r="F344" s="1">
        <v>201888079</v>
      </c>
      <c r="G344" s="1">
        <f>235388135</f>
        <v>235388135</v>
      </c>
      <c r="H344" s="1">
        <f>73728872</f>
        <v>73728872</v>
      </c>
      <c r="I344" s="1">
        <f>139075744</f>
        <v>139075744</v>
      </c>
      <c r="J344" s="33">
        <f>523544127</f>
        <v>523544127</v>
      </c>
      <c r="K344" s="1">
        <f>1006964164</f>
        <v>1006964164</v>
      </c>
      <c r="L344" s="1">
        <f>250810982</f>
        <v>250810982</v>
      </c>
    </row>
    <row r="345" spans="1:12" s="4" customFormat="1" ht="27.6" x14ac:dyDescent="0.3">
      <c r="A345" s="161"/>
      <c r="B345" s="38" t="s">
        <v>498</v>
      </c>
      <c r="C345" s="37">
        <f t="shared" si="7"/>
        <v>845704688</v>
      </c>
      <c r="D345" s="1" t="s">
        <v>177</v>
      </c>
      <c r="E345" s="1" t="s">
        <v>177</v>
      </c>
      <c r="F345" s="1" t="s">
        <v>177</v>
      </c>
      <c r="G345" s="1">
        <f>171365837</f>
        <v>171365837</v>
      </c>
      <c r="H345" s="1">
        <f>32095914</f>
        <v>32095914</v>
      </c>
      <c r="I345" s="1">
        <f>40282547</f>
        <v>40282547</v>
      </c>
      <c r="J345" s="33">
        <f>134803840</f>
        <v>134803840</v>
      </c>
      <c r="K345" s="1">
        <f>457536383</f>
        <v>457536383</v>
      </c>
      <c r="L345" s="1">
        <f>9620167</f>
        <v>9620167</v>
      </c>
    </row>
    <row r="346" spans="1:12" s="4" customFormat="1" x14ac:dyDescent="0.3">
      <c r="A346" s="159" t="s">
        <v>587</v>
      </c>
      <c r="B346" s="22" t="s">
        <v>499</v>
      </c>
      <c r="C346" s="37">
        <f t="shared" si="7"/>
        <v>4947828589</v>
      </c>
      <c r="D346" s="1">
        <v>118535145</v>
      </c>
      <c r="E346" s="1">
        <v>244582771</v>
      </c>
      <c r="F346" s="1">
        <v>431610575</v>
      </c>
      <c r="G346" s="1">
        <v>111942644</v>
      </c>
      <c r="H346" s="1">
        <f>326189171</f>
        <v>326189171</v>
      </c>
      <c r="I346" s="1">
        <f>688791587</f>
        <v>688791587</v>
      </c>
      <c r="J346" s="33">
        <f>991884588</f>
        <v>991884588</v>
      </c>
      <c r="K346" s="1">
        <f>1436152689</f>
        <v>1436152689</v>
      </c>
      <c r="L346" s="1">
        <f>598139419</f>
        <v>598139419</v>
      </c>
    </row>
    <row r="347" spans="1:12" s="4" customFormat="1" x14ac:dyDescent="0.3">
      <c r="A347" s="160"/>
      <c r="B347" s="86" t="s">
        <v>213</v>
      </c>
      <c r="C347" s="37">
        <f t="shared" si="7"/>
        <v>1221944094</v>
      </c>
      <c r="D347" s="1"/>
      <c r="E347" s="1"/>
      <c r="F347" s="1">
        <v>86443313</v>
      </c>
      <c r="G347" s="1">
        <f>59860751</f>
        <v>59860751</v>
      </c>
      <c r="H347" s="1">
        <f>87679818</f>
        <v>87679818</v>
      </c>
      <c r="I347" s="1">
        <f>126346841</f>
        <v>126346841</v>
      </c>
      <c r="J347" s="33">
        <f>221847242</f>
        <v>221847242</v>
      </c>
      <c r="K347" s="1">
        <v>288946088</v>
      </c>
      <c r="L347" s="1">
        <f>350820041</f>
        <v>350820041</v>
      </c>
    </row>
    <row r="348" spans="1:12" s="4" customFormat="1" x14ac:dyDescent="0.3">
      <c r="A348" s="160"/>
      <c r="B348" s="38" t="s">
        <v>500</v>
      </c>
      <c r="C348" s="37">
        <f t="shared" si="7"/>
        <v>171126807095</v>
      </c>
      <c r="D348" s="1">
        <v>7571213427</v>
      </c>
      <c r="E348" s="1">
        <v>5260986419</v>
      </c>
      <c r="F348" s="1">
        <v>13845867685</v>
      </c>
      <c r="G348" s="1">
        <f>11011874142</f>
        <v>11011874142</v>
      </c>
      <c r="H348" s="1">
        <f>11194297884</f>
        <v>11194297884</v>
      </c>
      <c r="I348" s="1">
        <f>19954063084</f>
        <v>19954063084</v>
      </c>
      <c r="J348" s="33">
        <v>36873426926</v>
      </c>
      <c r="K348" s="1">
        <f>37671938737</f>
        <v>37671938737</v>
      </c>
      <c r="L348" s="1">
        <f>27743138791</f>
        <v>27743138791</v>
      </c>
    </row>
    <row r="349" spans="1:12" s="4" customFormat="1" ht="27.6" x14ac:dyDescent="0.3">
      <c r="A349" s="159" t="s">
        <v>588</v>
      </c>
      <c r="B349" s="22" t="s">
        <v>501</v>
      </c>
      <c r="C349" s="37">
        <f t="shared" si="7"/>
        <v>24095573918</v>
      </c>
      <c r="D349" s="1" t="s">
        <v>177</v>
      </c>
      <c r="E349" s="1" t="s">
        <v>177</v>
      </c>
      <c r="F349" s="1" t="s">
        <v>177</v>
      </c>
      <c r="G349" s="1" t="s">
        <v>177</v>
      </c>
      <c r="H349" s="1">
        <f>2500000000</f>
        <v>2500000000</v>
      </c>
      <c r="I349" s="1">
        <f>2227235463</f>
        <v>2227235463</v>
      </c>
      <c r="J349" s="33">
        <f>6421680991</f>
        <v>6421680991</v>
      </c>
      <c r="K349" s="1">
        <f>7004795118</f>
        <v>7004795118</v>
      </c>
      <c r="L349" s="1">
        <f>5941862346</f>
        <v>5941862346</v>
      </c>
    </row>
    <row r="350" spans="1:12" s="4" customFormat="1" ht="27.6" x14ac:dyDescent="0.3">
      <c r="A350" s="160"/>
      <c r="B350" s="22" t="s">
        <v>72</v>
      </c>
      <c r="C350" s="37">
        <f t="shared" si="7"/>
        <v>53107697801</v>
      </c>
      <c r="D350" s="1" t="s">
        <v>177</v>
      </c>
      <c r="E350" s="1" t="s">
        <v>177</v>
      </c>
      <c r="F350" s="1">
        <v>592760902</v>
      </c>
      <c r="G350" s="1">
        <f>2352573844</f>
        <v>2352573844</v>
      </c>
      <c r="H350" s="1">
        <f>1843539679</f>
        <v>1843539679</v>
      </c>
      <c r="I350" s="1">
        <f>33953970946</f>
        <v>33953970946</v>
      </c>
      <c r="J350" s="33">
        <f>4135543605</f>
        <v>4135543605</v>
      </c>
      <c r="K350" s="1">
        <f>5692191224</f>
        <v>5692191224</v>
      </c>
      <c r="L350" s="1">
        <f>4537117601</f>
        <v>4537117601</v>
      </c>
    </row>
    <row r="351" spans="1:12" s="4" customFormat="1" ht="27.6" x14ac:dyDescent="0.3">
      <c r="A351" s="160"/>
      <c r="B351" s="22" t="s">
        <v>73</v>
      </c>
      <c r="C351" s="37">
        <f t="shared" si="7"/>
        <v>128914087</v>
      </c>
      <c r="D351" s="1" t="s">
        <v>177</v>
      </c>
      <c r="E351" s="1" t="s">
        <v>177</v>
      </c>
      <c r="F351" s="1">
        <v>128914087</v>
      </c>
      <c r="G351" s="1" t="s">
        <v>177</v>
      </c>
      <c r="H351" s="1" t="s">
        <v>177</v>
      </c>
      <c r="I351" s="1" t="s">
        <v>177</v>
      </c>
      <c r="J351" s="1" t="s">
        <v>177</v>
      </c>
      <c r="K351" s="1" t="s">
        <v>177</v>
      </c>
      <c r="L351" s="1" t="s">
        <v>177</v>
      </c>
    </row>
    <row r="352" spans="1:12" s="4" customFormat="1" x14ac:dyDescent="0.3">
      <c r="A352" s="160"/>
      <c r="B352" s="22" t="s">
        <v>74</v>
      </c>
      <c r="C352" s="37">
        <f t="shared" si="7"/>
        <v>24198943731</v>
      </c>
      <c r="D352" s="1" t="s">
        <v>177</v>
      </c>
      <c r="E352" s="1" t="s">
        <v>177</v>
      </c>
      <c r="F352" s="1">
        <v>734623655</v>
      </c>
      <c r="G352" s="1">
        <f>4107871516</f>
        <v>4107871516</v>
      </c>
      <c r="H352" s="1">
        <f>2282051355</f>
        <v>2282051355</v>
      </c>
      <c r="I352" s="1">
        <f>2497878838</f>
        <v>2497878838</v>
      </c>
      <c r="J352" s="33">
        <f>6618427412</f>
        <v>6618427412</v>
      </c>
      <c r="K352" s="1">
        <f>4658167469</f>
        <v>4658167469</v>
      </c>
      <c r="L352" s="1">
        <f>3299923486</f>
        <v>3299923486</v>
      </c>
    </row>
    <row r="353" spans="1:12" s="4" customFormat="1" ht="27.6" x14ac:dyDescent="0.3">
      <c r="A353" s="160"/>
      <c r="B353" s="38" t="s">
        <v>76</v>
      </c>
      <c r="C353" s="37">
        <f t="shared" si="7"/>
        <v>32259145133</v>
      </c>
      <c r="D353" s="1" t="s">
        <v>177</v>
      </c>
      <c r="E353" s="1" t="s">
        <v>177</v>
      </c>
      <c r="F353" s="1">
        <v>1884258064</v>
      </c>
      <c r="G353" s="1">
        <f>1062724778</f>
        <v>1062724778</v>
      </c>
      <c r="H353" s="1">
        <f>2053914776</f>
        <v>2053914776</v>
      </c>
      <c r="I353" s="1">
        <f>3952229516</f>
        <v>3952229516</v>
      </c>
      <c r="J353" s="33">
        <f>10750974897</f>
        <v>10750974897</v>
      </c>
      <c r="K353" s="1">
        <f>5529048054</f>
        <v>5529048054</v>
      </c>
      <c r="L353" s="1">
        <f>7025995048</f>
        <v>7025995048</v>
      </c>
    </row>
    <row r="354" spans="1:12" s="4" customFormat="1" x14ac:dyDescent="0.3">
      <c r="A354" s="160"/>
      <c r="B354" s="38" t="s">
        <v>502</v>
      </c>
      <c r="C354" s="37">
        <f t="shared" si="7"/>
        <v>160322511223</v>
      </c>
      <c r="D354" s="1" t="s">
        <v>177</v>
      </c>
      <c r="E354" s="1" t="s">
        <v>177</v>
      </c>
      <c r="F354" s="1">
        <v>6875183224</v>
      </c>
      <c r="G354" s="1">
        <f>20092118971</f>
        <v>20092118971</v>
      </c>
      <c r="H354" s="1">
        <f>25528035213</f>
        <v>25528035213</v>
      </c>
      <c r="I354" s="1">
        <f>12666905611</f>
        <v>12666905611</v>
      </c>
      <c r="J354" s="33">
        <f>47061530794</f>
        <v>47061530794</v>
      </c>
      <c r="K354" s="1">
        <v>25278255348</v>
      </c>
      <c r="L354" s="1">
        <f>22820482062</f>
        <v>22820482062</v>
      </c>
    </row>
    <row r="355" spans="1:12" s="4" customFormat="1" x14ac:dyDescent="0.3">
      <c r="A355" s="160"/>
      <c r="B355" s="38" t="s">
        <v>503</v>
      </c>
      <c r="C355" s="37">
        <f t="shared" si="7"/>
        <v>12938028621</v>
      </c>
      <c r="D355" s="1" t="s">
        <v>177</v>
      </c>
      <c r="E355" s="1" t="s">
        <v>177</v>
      </c>
      <c r="F355" s="1">
        <v>94962734</v>
      </c>
      <c r="G355" s="1">
        <f>2355459703</f>
        <v>2355459703</v>
      </c>
      <c r="H355" s="1">
        <f>1443111908</f>
        <v>1443111908</v>
      </c>
      <c r="I355" s="1">
        <f>1095973571</f>
        <v>1095973571</v>
      </c>
      <c r="J355" s="33">
        <f>2751736281</f>
        <v>2751736281</v>
      </c>
      <c r="K355" s="1">
        <f>3767239811</f>
        <v>3767239811</v>
      </c>
      <c r="L355" s="1">
        <f>1429544613</f>
        <v>1429544613</v>
      </c>
    </row>
    <row r="356" spans="1:12" s="4" customFormat="1" ht="27.6" x14ac:dyDescent="0.3">
      <c r="A356" s="160"/>
      <c r="B356" s="38" t="s">
        <v>504</v>
      </c>
      <c r="C356" s="37">
        <f t="shared" si="7"/>
        <v>27528542244</v>
      </c>
      <c r="D356" s="1" t="s">
        <v>177</v>
      </c>
      <c r="E356" s="1" t="s">
        <v>177</v>
      </c>
      <c r="F356" s="1">
        <v>1739486610</v>
      </c>
      <c r="G356" s="1">
        <f>1671080928</f>
        <v>1671080928</v>
      </c>
      <c r="H356" s="1">
        <f>1672351671</f>
        <v>1672351671</v>
      </c>
      <c r="I356" s="1">
        <v>3819254194</v>
      </c>
      <c r="J356" s="33">
        <f>7378145834</f>
        <v>7378145834</v>
      </c>
      <c r="K356" s="1">
        <f>6774632425</f>
        <v>6774632425</v>
      </c>
      <c r="L356" s="1">
        <f>4473590582</f>
        <v>4473590582</v>
      </c>
    </row>
    <row r="357" spans="1:12" s="4" customFormat="1" x14ac:dyDescent="0.3">
      <c r="A357" s="160"/>
      <c r="B357" s="38" t="s">
        <v>505</v>
      </c>
      <c r="C357" s="37">
        <f t="shared" si="7"/>
        <v>4594435321</v>
      </c>
      <c r="D357" s="1" t="s">
        <v>177</v>
      </c>
      <c r="E357" s="1" t="s">
        <v>177</v>
      </c>
      <c r="F357" s="1">
        <v>188983346</v>
      </c>
      <c r="G357" s="1">
        <f>284854866</f>
        <v>284854866</v>
      </c>
      <c r="H357" s="1">
        <f>562262450</f>
        <v>562262450</v>
      </c>
      <c r="I357" s="1">
        <f>626327674</f>
        <v>626327674</v>
      </c>
      <c r="J357" s="33">
        <f>1169856599</f>
        <v>1169856599</v>
      </c>
      <c r="K357" s="1">
        <f>972261734</f>
        <v>972261734</v>
      </c>
      <c r="L357" s="1">
        <f>789888652</f>
        <v>789888652</v>
      </c>
    </row>
    <row r="358" spans="1:12" s="4" customFormat="1" x14ac:dyDescent="0.3">
      <c r="A358" s="160"/>
      <c r="B358" s="38" t="s">
        <v>506</v>
      </c>
      <c r="C358" s="37">
        <f t="shared" si="7"/>
        <v>9410156762</v>
      </c>
      <c r="D358" s="1" t="s">
        <v>177</v>
      </c>
      <c r="E358" s="1">
        <v>353806769</v>
      </c>
      <c r="F358" s="1">
        <v>390036867</v>
      </c>
      <c r="G358" s="1">
        <f>384795785</f>
        <v>384795785</v>
      </c>
      <c r="H358" s="1">
        <f>390559362</f>
        <v>390559362</v>
      </c>
      <c r="I358" s="1">
        <f>3564572110</f>
        <v>3564572110</v>
      </c>
      <c r="J358" s="33">
        <f>2036541468</f>
        <v>2036541468</v>
      </c>
      <c r="K358" s="1">
        <f>1496411585</f>
        <v>1496411585</v>
      </c>
      <c r="L358" s="1">
        <f>793432816</f>
        <v>793432816</v>
      </c>
    </row>
    <row r="359" spans="1:12" s="4" customFormat="1" ht="27.6" x14ac:dyDescent="0.3">
      <c r="A359" s="160"/>
      <c r="B359" s="38" t="s">
        <v>507</v>
      </c>
      <c r="C359" s="37">
        <f t="shared" si="7"/>
        <v>4149414034</v>
      </c>
      <c r="D359" s="1" t="s">
        <v>177</v>
      </c>
      <c r="E359" s="1" t="s">
        <v>177</v>
      </c>
      <c r="F359" s="1">
        <v>295522212</v>
      </c>
      <c r="G359" s="1">
        <f>352226334</f>
        <v>352226334</v>
      </c>
      <c r="H359" s="1">
        <f>532147230</f>
        <v>532147230</v>
      </c>
      <c r="I359" s="1">
        <f>546598737</f>
        <v>546598737</v>
      </c>
      <c r="J359" s="33">
        <f>860962662</f>
        <v>860962662</v>
      </c>
      <c r="K359" s="1">
        <f>792383947</f>
        <v>792383947</v>
      </c>
      <c r="L359" s="1">
        <f>769572912</f>
        <v>769572912</v>
      </c>
    </row>
    <row r="360" spans="1:12" s="4" customFormat="1" x14ac:dyDescent="0.3">
      <c r="A360" s="160"/>
      <c r="B360" s="38" t="s">
        <v>508</v>
      </c>
      <c r="C360" s="37">
        <f t="shared" si="7"/>
        <v>24175668080</v>
      </c>
      <c r="D360" s="1" t="s">
        <v>177</v>
      </c>
      <c r="E360" s="1" t="s">
        <v>177</v>
      </c>
      <c r="F360" s="1" t="s">
        <v>177</v>
      </c>
      <c r="G360" s="1" t="s">
        <v>177</v>
      </c>
      <c r="H360" s="1" t="s">
        <v>177</v>
      </c>
      <c r="I360" s="1">
        <f>3505279580</f>
        <v>3505279580</v>
      </c>
      <c r="J360" s="33">
        <f>9082448090</f>
        <v>9082448090</v>
      </c>
      <c r="K360" s="1">
        <f>4212626101</f>
        <v>4212626101</v>
      </c>
      <c r="L360" s="1">
        <f>7375314309</f>
        <v>7375314309</v>
      </c>
    </row>
    <row r="361" spans="1:12" s="4" customFormat="1" x14ac:dyDescent="0.3">
      <c r="A361" s="160"/>
      <c r="B361" s="38" t="s">
        <v>509</v>
      </c>
      <c r="C361" s="37">
        <f t="shared" si="7"/>
        <v>5586216091</v>
      </c>
      <c r="D361" s="1" t="s">
        <v>177</v>
      </c>
      <c r="E361" s="1" t="s">
        <v>177</v>
      </c>
      <c r="F361" s="1">
        <v>341482902</v>
      </c>
      <c r="G361" s="1">
        <f>603045606</f>
        <v>603045606</v>
      </c>
      <c r="H361" s="1">
        <f>476115700</f>
        <v>476115700</v>
      </c>
      <c r="I361" s="1">
        <f>659362413</f>
        <v>659362413</v>
      </c>
      <c r="J361" s="33">
        <f>1337850631</f>
        <v>1337850631</v>
      </c>
      <c r="K361" s="1">
        <f>1247846379</f>
        <v>1247846379</v>
      </c>
      <c r="L361" s="1">
        <f>920512460</f>
        <v>920512460</v>
      </c>
    </row>
    <row r="362" spans="1:12" s="4" customFormat="1" ht="27.6" x14ac:dyDescent="0.3">
      <c r="A362" s="160"/>
      <c r="B362" s="38" t="s">
        <v>510</v>
      </c>
      <c r="C362" s="37">
        <f t="shared" si="7"/>
        <v>59000000000</v>
      </c>
      <c r="D362" s="1" t="s">
        <v>177</v>
      </c>
      <c r="E362" s="1" t="s">
        <v>177</v>
      </c>
      <c r="F362" s="1" t="s">
        <v>177</v>
      </c>
      <c r="G362" s="1" t="s">
        <v>177</v>
      </c>
      <c r="H362" s="1" t="s">
        <v>177</v>
      </c>
      <c r="I362" s="1">
        <v>19000000000</v>
      </c>
      <c r="J362" s="33">
        <f>40000000000</f>
        <v>40000000000</v>
      </c>
      <c r="K362" s="1" t="s">
        <v>177</v>
      </c>
      <c r="L362" s="1" t="s">
        <v>177</v>
      </c>
    </row>
    <row r="363" spans="1:12" s="4" customFormat="1" x14ac:dyDescent="0.3">
      <c r="A363" s="160"/>
      <c r="B363" s="38" t="s">
        <v>214</v>
      </c>
      <c r="C363" s="37">
        <f t="shared" si="7"/>
        <v>16550358807</v>
      </c>
      <c r="D363" s="1" t="s">
        <v>177</v>
      </c>
      <c r="E363" s="1" t="s">
        <v>177</v>
      </c>
      <c r="F363" s="1">
        <v>742487291</v>
      </c>
      <c r="G363" s="1" t="s">
        <v>177</v>
      </c>
      <c r="H363" s="1" t="s">
        <v>177</v>
      </c>
      <c r="I363" s="1">
        <f>2065427431</f>
        <v>2065427431</v>
      </c>
      <c r="J363" s="33">
        <f>4975450583</f>
        <v>4975450583</v>
      </c>
      <c r="K363" s="1">
        <f>5553938032</f>
        <v>5553938032</v>
      </c>
      <c r="L363" s="1">
        <f>3213055470</f>
        <v>3213055470</v>
      </c>
    </row>
    <row r="364" spans="1:12" s="4" customFormat="1" x14ac:dyDescent="0.3">
      <c r="A364" s="161"/>
      <c r="B364" s="38" t="s">
        <v>511</v>
      </c>
      <c r="C364" s="37">
        <f t="shared" si="7"/>
        <v>3883881548</v>
      </c>
      <c r="D364" s="1" t="s">
        <v>177</v>
      </c>
      <c r="E364" s="1" t="s">
        <v>177</v>
      </c>
      <c r="F364" s="1" t="s">
        <v>177</v>
      </c>
      <c r="G364" s="1" t="s">
        <v>177</v>
      </c>
      <c r="H364" s="1" t="s">
        <v>177</v>
      </c>
      <c r="I364" s="1" t="s">
        <v>177</v>
      </c>
      <c r="J364" s="1" t="s">
        <v>177</v>
      </c>
      <c r="K364" s="1" t="s">
        <v>177</v>
      </c>
      <c r="L364" s="1">
        <v>3883881548</v>
      </c>
    </row>
    <row r="365" spans="1:12" s="4" customFormat="1" ht="27.6" x14ac:dyDescent="0.3">
      <c r="A365" s="159" t="s">
        <v>60</v>
      </c>
      <c r="B365" s="22" t="s">
        <v>73</v>
      </c>
      <c r="C365" s="37">
        <f t="shared" si="7"/>
        <v>3883027705</v>
      </c>
      <c r="D365" s="1" t="s">
        <v>177</v>
      </c>
      <c r="E365" s="1" t="s">
        <v>177</v>
      </c>
      <c r="F365" s="1" t="s">
        <v>177</v>
      </c>
      <c r="G365" s="1">
        <f>553044702</f>
        <v>553044702</v>
      </c>
      <c r="H365" s="1">
        <f>347691573</f>
        <v>347691573</v>
      </c>
      <c r="I365" s="1">
        <f>332002664</f>
        <v>332002664</v>
      </c>
      <c r="J365" s="33">
        <f>1219020810</f>
        <v>1219020810</v>
      </c>
      <c r="K365" s="1">
        <f>819947563</f>
        <v>819947563</v>
      </c>
      <c r="L365" s="1">
        <f>611320393</f>
        <v>611320393</v>
      </c>
    </row>
    <row r="366" spans="1:12" s="4" customFormat="1" x14ac:dyDescent="0.3">
      <c r="A366" s="160"/>
      <c r="B366" s="22" t="s">
        <v>512</v>
      </c>
      <c r="C366" s="37">
        <f t="shared" si="7"/>
        <v>48353069886</v>
      </c>
      <c r="D366" s="1" t="s">
        <v>177</v>
      </c>
      <c r="E366" s="1" t="s">
        <v>177</v>
      </c>
      <c r="F366" s="1" t="s">
        <v>177</v>
      </c>
      <c r="G366" s="1" t="s">
        <v>177</v>
      </c>
      <c r="H366" s="1" t="s">
        <v>177</v>
      </c>
      <c r="I366" s="1">
        <f>10923532727</f>
        <v>10923532727</v>
      </c>
      <c r="J366" s="33">
        <f>25923532727</f>
        <v>25923532727</v>
      </c>
      <c r="K366" s="1">
        <f>3150215000</f>
        <v>3150215000</v>
      </c>
      <c r="L366" s="1">
        <f>8355789432</f>
        <v>8355789432</v>
      </c>
    </row>
    <row r="367" spans="1:12" s="4" customFormat="1" ht="28.8" x14ac:dyDescent="0.3">
      <c r="A367" s="85" t="s">
        <v>91</v>
      </c>
      <c r="B367" s="22" t="s">
        <v>513</v>
      </c>
      <c r="C367" s="37">
        <f t="shared" si="7"/>
        <v>1000000000</v>
      </c>
      <c r="D367" s="1" t="s">
        <v>177</v>
      </c>
      <c r="E367" s="1" t="s">
        <v>177</v>
      </c>
      <c r="F367" s="1" t="s">
        <v>177</v>
      </c>
      <c r="G367" s="1" t="s">
        <v>177</v>
      </c>
      <c r="H367" s="1" t="s">
        <v>177</v>
      </c>
      <c r="I367" s="1" t="s">
        <v>177</v>
      </c>
      <c r="J367" s="35">
        <v>1000000000</v>
      </c>
      <c r="K367" s="1" t="s">
        <v>177</v>
      </c>
      <c r="L367" s="1" t="s">
        <v>177</v>
      </c>
    </row>
    <row r="368" spans="1:12" s="4" customFormat="1" ht="25.5" customHeight="1" x14ac:dyDescent="0.3">
      <c r="A368" s="156" t="s">
        <v>111</v>
      </c>
      <c r="B368" s="22" t="s">
        <v>514</v>
      </c>
      <c r="C368" s="37">
        <f t="shared" si="7"/>
        <v>14600944683</v>
      </c>
      <c r="D368" s="1" t="s">
        <v>177</v>
      </c>
      <c r="E368" s="1" t="s">
        <v>177</v>
      </c>
      <c r="F368" s="1" t="s">
        <v>177</v>
      </c>
      <c r="G368" s="1" t="s">
        <v>177</v>
      </c>
      <c r="H368" s="1" t="s">
        <v>177</v>
      </c>
      <c r="I368" s="1">
        <f>10000000000</f>
        <v>10000000000</v>
      </c>
      <c r="J368" s="1" t="s">
        <v>177</v>
      </c>
      <c r="K368" s="1" t="s">
        <v>177</v>
      </c>
      <c r="L368" s="1">
        <f>4600944683</f>
        <v>4600944683</v>
      </c>
    </row>
    <row r="369" spans="1:12" s="4" customFormat="1" ht="41.4" x14ac:dyDescent="0.3">
      <c r="A369" s="157"/>
      <c r="B369" s="22" t="s">
        <v>515</v>
      </c>
      <c r="C369" s="37">
        <f t="shared" si="7"/>
        <v>12346316495</v>
      </c>
      <c r="D369" s="1" t="s">
        <v>177</v>
      </c>
      <c r="E369" s="1" t="s">
        <v>177</v>
      </c>
      <c r="F369" s="1" t="s">
        <v>177</v>
      </c>
      <c r="G369" s="1">
        <f>12346316495</f>
        <v>12346316495</v>
      </c>
      <c r="H369" s="1" t="s">
        <v>177</v>
      </c>
      <c r="I369" s="1" t="s">
        <v>177</v>
      </c>
      <c r="J369" s="1" t="s">
        <v>177</v>
      </c>
      <c r="K369" s="1" t="s">
        <v>177</v>
      </c>
      <c r="L369" s="1" t="s">
        <v>177</v>
      </c>
    </row>
    <row r="370" spans="1:12" s="4" customFormat="1" ht="27.6" x14ac:dyDescent="0.3">
      <c r="A370" s="157"/>
      <c r="B370" s="22" t="s">
        <v>117</v>
      </c>
      <c r="C370" s="37">
        <f t="shared" si="7"/>
        <v>137318784587</v>
      </c>
      <c r="D370" s="1" t="s">
        <v>177</v>
      </c>
      <c r="E370" s="1">
        <v>4563374198</v>
      </c>
      <c r="F370" s="1">
        <v>7822172146</v>
      </c>
      <c r="G370" s="1">
        <f>9822314431</f>
        <v>9822314431</v>
      </c>
      <c r="H370" s="1">
        <f>9871994626</f>
        <v>9871994626</v>
      </c>
      <c r="I370" s="1">
        <v>14507284101</v>
      </c>
      <c r="J370" s="33">
        <f>31350566641</f>
        <v>31350566641</v>
      </c>
      <c r="K370" s="1">
        <f>41881078444</f>
        <v>41881078444</v>
      </c>
      <c r="L370" s="1">
        <f>17500000000</f>
        <v>17500000000</v>
      </c>
    </row>
    <row r="371" spans="1:12" s="4" customFormat="1" x14ac:dyDescent="0.3">
      <c r="A371" s="157"/>
      <c r="B371" s="22" t="s">
        <v>113</v>
      </c>
      <c r="C371" s="37">
        <f>SUM(D371:L371)</f>
        <v>2982970039</v>
      </c>
      <c r="D371" s="1">
        <v>120566877</v>
      </c>
      <c r="E371" s="1">
        <f>49470521+47618032</f>
        <v>97088553</v>
      </c>
      <c r="F371" s="1">
        <f>181973014+117783664</f>
        <v>299756678</v>
      </c>
      <c r="G371" s="1">
        <f>161483406+108914724</f>
        <v>270398130</v>
      </c>
      <c r="H371" s="1">
        <f>171579156+125782457</f>
        <v>297361613</v>
      </c>
      <c r="I371" s="1">
        <f>158087339+129498425</f>
        <v>287585764</v>
      </c>
      <c r="J371" s="33">
        <f>206114226+137771800</f>
        <v>343886026</v>
      </c>
      <c r="K371" s="1">
        <f>691334239</f>
        <v>691334239</v>
      </c>
      <c r="L371" s="1">
        <f>574992159</f>
        <v>574992159</v>
      </c>
    </row>
    <row r="372" spans="1:12" s="4" customFormat="1" ht="41.4" x14ac:dyDescent="0.3">
      <c r="A372" s="157"/>
      <c r="B372" s="22" t="s">
        <v>516</v>
      </c>
      <c r="C372" s="37">
        <f t="shared" si="7"/>
        <v>729919668</v>
      </c>
      <c r="D372" s="1" t="s">
        <v>177</v>
      </c>
      <c r="E372" s="1" t="s">
        <v>177</v>
      </c>
      <c r="F372" s="1">
        <v>160323056</v>
      </c>
      <c r="G372" s="1">
        <f>27415935</f>
        <v>27415935</v>
      </c>
      <c r="H372" s="1">
        <f>70748650</f>
        <v>70748650</v>
      </c>
      <c r="I372" s="1">
        <f>93873054</f>
        <v>93873054</v>
      </c>
      <c r="J372" s="33">
        <f>215483957</f>
        <v>215483957</v>
      </c>
      <c r="K372" s="1">
        <f>162075016</f>
        <v>162075016</v>
      </c>
      <c r="L372" s="1"/>
    </row>
    <row r="373" spans="1:12" s="4" customFormat="1" ht="27.6" x14ac:dyDescent="0.3">
      <c r="A373" s="157"/>
      <c r="B373" s="22" t="s">
        <v>517</v>
      </c>
      <c r="C373" s="37">
        <f t="shared" si="7"/>
        <v>1524884469</v>
      </c>
      <c r="D373" s="1" t="s">
        <v>177</v>
      </c>
      <c r="E373" s="1" t="s">
        <v>177</v>
      </c>
      <c r="F373" s="1">
        <f>63304662+14206460</f>
        <v>77511122</v>
      </c>
      <c r="G373" s="1">
        <f>63304662+14206460</f>
        <v>77511122</v>
      </c>
      <c r="H373" s="1">
        <f>119854936+28601030</f>
        <v>148455966</v>
      </c>
      <c r="I373" s="1">
        <f>118037083+28328662</f>
        <v>146365745</v>
      </c>
      <c r="J373" s="33">
        <f>508653169+114609014</f>
        <v>623262183</v>
      </c>
      <c r="K373" s="1">
        <f>245509212</f>
        <v>245509212</v>
      </c>
      <c r="L373" s="1">
        <f>206269119</f>
        <v>206269119</v>
      </c>
    </row>
    <row r="374" spans="1:12" s="4" customFormat="1" x14ac:dyDescent="0.3">
      <c r="A374" s="157"/>
      <c r="B374" s="22" t="s">
        <v>518</v>
      </c>
      <c r="C374" s="37">
        <f t="shared" si="7"/>
        <v>22763731460</v>
      </c>
      <c r="D374" s="1" t="s">
        <v>177</v>
      </c>
      <c r="E374" s="1">
        <f>202583866+459215232</f>
        <v>661799098</v>
      </c>
      <c r="F374" s="1">
        <v>220548241</v>
      </c>
      <c r="G374" s="1">
        <f>289896460</f>
        <v>289896460</v>
      </c>
      <c r="H374" s="1">
        <f>200940035</f>
        <v>200940035</v>
      </c>
      <c r="I374" s="1">
        <f>219052357</f>
        <v>219052357</v>
      </c>
      <c r="J374" s="33">
        <f>607825022</f>
        <v>607825022</v>
      </c>
      <c r="K374" s="1">
        <f>563670247</f>
        <v>563670247</v>
      </c>
      <c r="L374" s="1">
        <f>20000000000</f>
        <v>20000000000</v>
      </c>
    </row>
    <row r="375" spans="1:12" s="4" customFormat="1" x14ac:dyDescent="0.3">
      <c r="A375" s="157"/>
      <c r="B375" s="22" t="s">
        <v>118</v>
      </c>
      <c r="C375" s="37">
        <f t="shared" si="7"/>
        <v>8368709779</v>
      </c>
      <c r="D375" s="1">
        <v>956480000</v>
      </c>
      <c r="E375" s="1">
        <v>175245260</v>
      </c>
      <c r="F375" s="1">
        <v>175245174</v>
      </c>
      <c r="G375" s="1">
        <f>266083872</f>
        <v>266083872</v>
      </c>
      <c r="H375" s="1">
        <f>357044617</f>
        <v>357044617</v>
      </c>
      <c r="I375" s="1">
        <f>775785564</f>
        <v>775785564</v>
      </c>
      <c r="J375" s="33">
        <f>1846790097</f>
        <v>1846790097</v>
      </c>
      <c r="K375" s="1">
        <f>2017888415</f>
        <v>2017888415</v>
      </c>
      <c r="L375" s="1">
        <f>1798146780</f>
        <v>1798146780</v>
      </c>
    </row>
    <row r="376" spans="1:12" s="4" customFormat="1" x14ac:dyDescent="0.3">
      <c r="A376" s="157"/>
      <c r="B376" s="22" t="s">
        <v>116</v>
      </c>
      <c r="C376" s="37">
        <f t="shared" si="7"/>
        <v>1343176304</v>
      </c>
      <c r="D376" s="1">
        <f>8207656+10056872</f>
        <v>18264528</v>
      </c>
      <c r="E376" s="1">
        <f>8207656+10056872</f>
        <v>18264528</v>
      </c>
      <c r="F376" s="1">
        <f>40005095+55121610</f>
        <v>95126705</v>
      </c>
      <c r="G376" s="1">
        <f>24306019+32589240</f>
        <v>56895259</v>
      </c>
      <c r="H376" s="1">
        <f>32903276+42899258</f>
        <v>75802534</v>
      </c>
      <c r="I376" s="1">
        <f>32520582+42939713</f>
        <v>75460295</v>
      </c>
      <c r="J376" s="33">
        <f>368075632+106071858</f>
        <v>474147490</v>
      </c>
      <c r="K376" s="1">
        <f>206964052</f>
        <v>206964052</v>
      </c>
      <c r="L376" s="1">
        <f>322250913</f>
        <v>322250913</v>
      </c>
    </row>
    <row r="377" spans="1:12" s="4" customFormat="1" x14ac:dyDescent="0.3">
      <c r="A377" s="157"/>
      <c r="B377" s="22" t="s">
        <v>215</v>
      </c>
      <c r="C377" s="37">
        <f t="shared" si="7"/>
        <v>53247280711</v>
      </c>
      <c r="D377" s="1" t="s">
        <v>177</v>
      </c>
      <c r="E377" s="1" t="s">
        <v>177</v>
      </c>
      <c r="F377" s="1">
        <f>1617302162+348888609</f>
        <v>1966190771</v>
      </c>
      <c r="G377" s="1">
        <f>6854831289+299527556</f>
        <v>7154358845</v>
      </c>
      <c r="H377" s="1">
        <f>189708190+37210217</f>
        <v>226918407</v>
      </c>
      <c r="I377" s="1">
        <f>2335993916+82888961</f>
        <v>2418882877</v>
      </c>
      <c r="J377" s="33">
        <f>13306973809+173956002</f>
        <v>13480929811</v>
      </c>
      <c r="K377" s="1">
        <f>13000000000</f>
        <v>13000000000</v>
      </c>
      <c r="L377" s="1">
        <f>15000000000</f>
        <v>15000000000</v>
      </c>
    </row>
    <row r="378" spans="1:12" s="4" customFormat="1" ht="27.6" x14ac:dyDescent="0.3">
      <c r="A378" s="157"/>
      <c r="B378" s="22" t="s">
        <v>519</v>
      </c>
      <c r="C378" s="37">
        <f t="shared" si="7"/>
        <v>25512988496</v>
      </c>
      <c r="D378" s="1" t="s">
        <v>177</v>
      </c>
      <c r="E378" s="1" t="s">
        <v>177</v>
      </c>
      <c r="F378" s="1">
        <v>897049725</v>
      </c>
      <c r="G378" s="1">
        <v>147663367</v>
      </c>
      <c r="H378" s="1" t="s">
        <v>177</v>
      </c>
      <c r="I378" s="1">
        <v>8000000000</v>
      </c>
      <c r="J378" s="33">
        <f>3336387838+10000000000</f>
        <v>13336387838</v>
      </c>
      <c r="K378" s="1" t="s">
        <v>177</v>
      </c>
      <c r="L378" s="1">
        <f>3131887566</f>
        <v>3131887566</v>
      </c>
    </row>
    <row r="379" spans="1:12" s="4" customFormat="1" x14ac:dyDescent="0.3">
      <c r="A379" s="157"/>
      <c r="B379" s="38" t="s">
        <v>568</v>
      </c>
      <c r="C379" s="37">
        <f>SUM(D379:L379)</f>
        <v>6916590423</v>
      </c>
      <c r="D379" s="1">
        <f>4139783+9204822+9089574+741658+5884072</f>
        <v>29059909</v>
      </c>
      <c r="E379" s="1">
        <f>86494207+741658+1471018+2059624</f>
        <v>90766507</v>
      </c>
      <c r="F379" s="1">
        <f>2692187765-1617302162+38032872+4950239+1731018+4891330</f>
        <v>1124491062</v>
      </c>
      <c r="G379" s="1">
        <f>6408744+9019090+24385769+471391+8976628+11392426+4950239+5506606+5813354</f>
        <v>76924247</v>
      </c>
      <c r="H379" s="1">
        <f>11972278+10014688+1074644+34602220+10043167+7386512+5957038+5292210</f>
        <v>86342757</v>
      </c>
      <c r="I379" s="1">
        <f>16377542+7876912+557593891+1074644+34602219+10313226+8027086+5567038+5362464</f>
        <v>646795022</v>
      </c>
      <c r="J379" s="33">
        <f>58263729+58098303+7514505+206776744+100772153+35450042+5567038+27650206</f>
        <v>500092720</v>
      </c>
      <c r="K379" s="1">
        <f>58366797+95323032+455438279+830022510+2197466188+13925960+235877562+47098117+27757154+29158068</f>
        <v>3990433667</v>
      </c>
      <c r="L379" s="1">
        <f>86160666+55562505+9835212+128570655+34974609+28446906+28133979</f>
        <v>371684532</v>
      </c>
    </row>
    <row r="380" spans="1:12" s="4" customFormat="1" ht="41.4" x14ac:dyDescent="0.3">
      <c r="A380" s="157"/>
      <c r="B380" s="38" t="s">
        <v>520</v>
      </c>
      <c r="C380" s="37">
        <f t="shared" si="7"/>
        <v>800981608</v>
      </c>
      <c r="D380" s="1">
        <v>10445108</v>
      </c>
      <c r="E380" s="1">
        <v>24546010</v>
      </c>
      <c r="F380" s="1"/>
      <c r="G380" s="1">
        <f>24385769+38032872</f>
        <v>62418641</v>
      </c>
      <c r="H380" s="1">
        <f>35063403+52970821</f>
        <v>88034224</v>
      </c>
      <c r="I380" s="1">
        <f>35063402+52970821</f>
        <v>88034223</v>
      </c>
      <c r="J380" s="33">
        <f>129741002+199357430</f>
        <v>329098432</v>
      </c>
      <c r="K380" s="1" t="s">
        <v>177</v>
      </c>
      <c r="L380" s="1">
        <f>198404970</f>
        <v>198404970</v>
      </c>
    </row>
    <row r="381" spans="1:12" s="4" customFormat="1" ht="27.6" x14ac:dyDescent="0.3">
      <c r="A381" s="157"/>
      <c r="B381" s="38" t="s">
        <v>521</v>
      </c>
      <c r="C381" s="37">
        <f>SUM(D381:L381)</f>
        <v>2289660286</v>
      </c>
      <c r="D381" s="1">
        <f>8539398+3595536</f>
        <v>12134934</v>
      </c>
      <c r="E381" s="1">
        <v>22409336</v>
      </c>
      <c r="F381" s="1">
        <v>56660422</v>
      </c>
      <c r="G381" s="1">
        <f>144297583+62661044</f>
        <v>206958627</v>
      </c>
      <c r="H381" s="1">
        <f>222438128+57170044</f>
        <v>279608172</v>
      </c>
      <c r="I381" s="1">
        <f>201916111+57170046</f>
        <v>259086157</v>
      </c>
      <c r="J381" s="33">
        <f>726288971+260297794</f>
        <v>986586765</v>
      </c>
      <c r="K381" s="1" t="s">
        <v>177</v>
      </c>
      <c r="L381" s="1">
        <f>466215873</f>
        <v>466215873</v>
      </c>
    </row>
    <row r="382" spans="1:12" s="4" customFormat="1" ht="27.6" x14ac:dyDescent="0.3">
      <c r="A382" s="157"/>
      <c r="B382" s="38" t="s">
        <v>522</v>
      </c>
      <c r="C382" s="37">
        <f t="shared" si="7"/>
        <v>515830462</v>
      </c>
      <c r="D382" s="1" t="s">
        <v>177</v>
      </c>
      <c r="E382" s="1" t="s">
        <v>177</v>
      </c>
      <c r="F382" s="1">
        <v>30938797</v>
      </c>
      <c r="G382" s="1">
        <f>31421842</f>
        <v>31421842</v>
      </c>
      <c r="H382" s="1">
        <f>25940616</f>
        <v>25940616</v>
      </c>
      <c r="I382" s="1">
        <f>18537314</f>
        <v>18537314</v>
      </c>
      <c r="J382" s="33">
        <f>141697986</f>
        <v>141697986</v>
      </c>
      <c r="K382" s="1">
        <f>176093877</f>
        <v>176093877</v>
      </c>
      <c r="L382" s="1">
        <f>91200030</f>
        <v>91200030</v>
      </c>
    </row>
    <row r="383" spans="1:12" s="4" customFormat="1" ht="27.6" x14ac:dyDescent="0.3">
      <c r="A383" s="157"/>
      <c r="B383" s="38" t="s">
        <v>216</v>
      </c>
      <c r="C383" s="37">
        <f t="shared" si="7"/>
        <v>381556776</v>
      </c>
      <c r="D383" s="1" t="s">
        <v>177</v>
      </c>
      <c r="E383" s="1" t="s">
        <v>177</v>
      </c>
      <c r="F383" s="1">
        <v>33710128</v>
      </c>
      <c r="G383" s="1">
        <f>5737417</f>
        <v>5737417</v>
      </c>
      <c r="H383" s="1">
        <f>12063807</f>
        <v>12063807</v>
      </c>
      <c r="I383" s="1">
        <f>12019835</f>
        <v>12019835</v>
      </c>
      <c r="J383" s="33">
        <f>107917692</f>
        <v>107917692</v>
      </c>
      <c r="K383" s="1">
        <f>84905576</f>
        <v>84905576</v>
      </c>
      <c r="L383" s="1">
        <f>125202321</f>
        <v>125202321</v>
      </c>
    </row>
    <row r="384" spans="1:12" s="4" customFormat="1" ht="41.4" x14ac:dyDescent="0.3">
      <c r="A384" s="157"/>
      <c r="B384" s="38" t="s">
        <v>523</v>
      </c>
      <c r="C384" s="37">
        <f>SUM(D384:L384)</f>
        <v>110000000000</v>
      </c>
      <c r="D384" s="1" t="s">
        <v>177</v>
      </c>
      <c r="E384" s="1" t="s">
        <v>177</v>
      </c>
      <c r="F384" s="1" t="s">
        <v>177</v>
      </c>
      <c r="G384" s="1" t="s">
        <v>177</v>
      </c>
      <c r="H384" s="1" t="s">
        <v>177</v>
      </c>
      <c r="I384" s="1" t="s">
        <v>177</v>
      </c>
      <c r="J384" s="33">
        <f>70000000000</f>
        <v>70000000000</v>
      </c>
      <c r="K384" s="1">
        <v>40000000000</v>
      </c>
      <c r="L384" s="1" t="s">
        <v>177</v>
      </c>
    </row>
    <row r="385" spans="1:12" s="4" customFormat="1" x14ac:dyDescent="0.3">
      <c r="A385" s="158"/>
      <c r="B385" s="38" t="s">
        <v>235</v>
      </c>
      <c r="C385" s="37">
        <f t="shared" ref="C385" si="8">SUM(D385:L385)</f>
        <v>499158270</v>
      </c>
      <c r="D385" s="1" t="s">
        <v>177</v>
      </c>
      <c r="E385" s="1" t="s">
        <v>177</v>
      </c>
      <c r="F385" s="1">
        <v>249579135</v>
      </c>
      <c r="G385" s="1">
        <f>249579135</f>
        <v>249579135</v>
      </c>
      <c r="H385" s="1" t="s">
        <v>177</v>
      </c>
      <c r="I385" s="1" t="s">
        <v>177</v>
      </c>
      <c r="J385" s="1" t="s">
        <v>177</v>
      </c>
      <c r="K385" s="1" t="s">
        <v>177</v>
      </c>
      <c r="L385" s="1" t="s">
        <v>177</v>
      </c>
    </row>
  </sheetData>
  <mergeCells count="35">
    <mergeCell ref="A122:A143"/>
    <mergeCell ref="A2:A12"/>
    <mergeCell ref="A13:A16"/>
    <mergeCell ref="A17:A20"/>
    <mergeCell ref="A21:A22"/>
    <mergeCell ref="A23:A36"/>
    <mergeCell ref="A37:A61"/>
    <mergeCell ref="A62:A65"/>
    <mergeCell ref="A66:A67"/>
    <mergeCell ref="A68:A82"/>
    <mergeCell ref="A84:A89"/>
    <mergeCell ref="A90:A121"/>
    <mergeCell ref="A144:A166"/>
    <mergeCell ref="A167:A182"/>
    <mergeCell ref="A183:A197"/>
    <mergeCell ref="A198:A201"/>
    <mergeCell ref="A202:A203"/>
    <mergeCell ref="A241:A251"/>
    <mergeCell ref="A273:A278"/>
    <mergeCell ref="A279:A302"/>
    <mergeCell ref="A303:A312"/>
    <mergeCell ref="A204:A223"/>
    <mergeCell ref="A224:A229"/>
    <mergeCell ref="A230:A232"/>
    <mergeCell ref="A233:A236"/>
    <mergeCell ref="A237:A238"/>
    <mergeCell ref="A239:A240"/>
    <mergeCell ref="A368:A385"/>
    <mergeCell ref="A252:A272"/>
    <mergeCell ref="A313:A314"/>
    <mergeCell ref="A315:A316"/>
    <mergeCell ref="A317:A345"/>
    <mergeCell ref="A346:A348"/>
    <mergeCell ref="A349:A364"/>
    <mergeCell ref="A365:A36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C18" sqref="C18"/>
    </sheetView>
  </sheetViews>
  <sheetFormatPr defaultColWidth="11.5546875" defaultRowHeight="14.4" x14ac:dyDescent="0.3"/>
  <cols>
    <col min="1" max="1" width="21.6640625" bestFit="1" customWidth="1"/>
    <col min="2" max="2" width="23.44140625" bestFit="1" customWidth="1"/>
    <col min="3" max="3" width="14.5546875" bestFit="1" customWidth="1"/>
    <col min="4" max="4" width="15.5546875" bestFit="1" customWidth="1"/>
    <col min="5" max="7" width="14.6640625" bestFit="1" customWidth="1"/>
  </cols>
  <sheetData>
    <row r="1" spans="1:7" x14ac:dyDescent="0.3">
      <c r="A1" s="47" t="s">
        <v>537</v>
      </c>
      <c r="B1" s="48" t="s">
        <v>538</v>
      </c>
      <c r="C1" s="49">
        <v>41137</v>
      </c>
      <c r="D1" s="49">
        <v>41141</v>
      </c>
      <c r="E1" s="49">
        <v>6314</v>
      </c>
      <c r="F1" s="49">
        <v>41225</v>
      </c>
      <c r="G1" s="49">
        <v>6335</v>
      </c>
    </row>
    <row r="2" spans="1:7" ht="15.6" x14ac:dyDescent="0.3">
      <c r="A2" s="50" t="s">
        <v>539</v>
      </c>
      <c r="B2" s="51">
        <f>+[2]Entes!E280</f>
        <v>246419906182</v>
      </c>
      <c r="C2" s="52"/>
      <c r="D2" s="53"/>
      <c r="E2" s="54"/>
      <c r="F2" s="55"/>
      <c r="G2" s="55"/>
    </row>
    <row r="3" spans="1:7" x14ac:dyDescent="0.3">
      <c r="A3" s="56" t="s">
        <v>35</v>
      </c>
      <c r="B3" s="57">
        <f>+SUM(C3:AF3)</f>
        <v>1154879514585</v>
      </c>
      <c r="C3" s="58">
        <v>90441672742</v>
      </c>
      <c r="D3" s="59">
        <f>SUM(D4:D5)</f>
        <v>202213113538</v>
      </c>
      <c r="E3" s="60">
        <f>SUM(E4:E5)</f>
        <v>121068569282</v>
      </c>
      <c r="F3" s="60">
        <f>SUM(F4:F5)</f>
        <v>269252494181</v>
      </c>
      <c r="G3" s="60">
        <f>SUM(G4:G5)</f>
        <v>471903664842</v>
      </c>
    </row>
    <row r="4" spans="1:7" x14ac:dyDescent="0.3">
      <c r="A4" s="56" t="s">
        <v>540</v>
      </c>
      <c r="B4" s="57">
        <f>+SUM(C4:AF4)</f>
        <v>923903611669</v>
      </c>
      <c r="C4" s="58">
        <v>72353338194</v>
      </c>
      <c r="D4" s="58">
        <v>161770490830</v>
      </c>
      <c r="E4" s="60">
        <f>SUM(E9:E33)</f>
        <v>96854855426</v>
      </c>
      <c r="F4" s="60">
        <f>SUM(F9:F32)</f>
        <v>215401995345</v>
      </c>
      <c r="G4" s="60">
        <f>SUM(G9:G32)</f>
        <v>377522931874</v>
      </c>
    </row>
    <row r="5" spans="1:7" x14ac:dyDescent="0.3">
      <c r="A5" s="56" t="s">
        <v>541</v>
      </c>
      <c r="B5" s="57">
        <f>+SUM(C5:AF5)</f>
        <v>230975902916</v>
      </c>
      <c r="C5" s="58">
        <v>18088334548</v>
      </c>
      <c r="D5" s="58">
        <v>40442622708</v>
      </c>
      <c r="E5" s="60">
        <v>24213713856</v>
      </c>
      <c r="F5" s="60">
        <f>53850498836</f>
        <v>53850498836</v>
      </c>
      <c r="G5" s="60">
        <v>94380732968</v>
      </c>
    </row>
    <row r="6" spans="1:7" x14ac:dyDescent="0.3">
      <c r="A6" s="61"/>
      <c r="B6" s="62"/>
      <c r="C6" s="58"/>
      <c r="D6" s="59"/>
      <c r="E6" s="60"/>
      <c r="F6" s="60"/>
      <c r="G6" s="60"/>
    </row>
    <row r="7" spans="1:7" x14ac:dyDescent="0.3">
      <c r="A7" s="47" t="s">
        <v>542</v>
      </c>
      <c r="B7" s="63">
        <f>+B2+B4+B5</f>
        <v>1401299420767</v>
      </c>
      <c r="C7" s="58"/>
      <c r="D7" s="61"/>
      <c r="E7" s="60"/>
      <c r="F7" s="60"/>
      <c r="G7" s="60"/>
    </row>
    <row r="8" spans="1:7" x14ac:dyDescent="0.3">
      <c r="A8" s="64" t="s">
        <v>543</v>
      </c>
      <c r="B8" s="62"/>
      <c r="C8" s="58"/>
      <c r="D8" s="61"/>
      <c r="E8" s="60"/>
      <c r="F8" s="60"/>
      <c r="G8" s="60"/>
    </row>
    <row r="9" spans="1:7" x14ac:dyDescent="0.3">
      <c r="A9" s="65" t="s">
        <v>178</v>
      </c>
      <c r="B9" s="66">
        <f t="shared" ref="B9:B33" si="0">+SUM(C9:AF9)</f>
        <v>54511270871</v>
      </c>
      <c r="C9" s="58">
        <f>4306447154</f>
        <v>4306447154</v>
      </c>
      <c r="D9" s="58">
        <f>9537497935</f>
        <v>9537497935</v>
      </c>
      <c r="E9" s="60">
        <v>5710268782</v>
      </c>
      <c r="F9" s="60">
        <v>12699448924</v>
      </c>
      <c r="G9" s="60">
        <v>22257608076</v>
      </c>
    </row>
    <row r="10" spans="1:7" x14ac:dyDescent="0.3">
      <c r="A10" s="65" t="s">
        <v>544</v>
      </c>
      <c r="B10" s="66">
        <f t="shared" si="0"/>
        <v>15410200270</v>
      </c>
      <c r="C10" s="58">
        <f>1202994696</f>
        <v>1202994696</v>
      </c>
      <c r="D10" s="58">
        <f>2698967625</f>
        <v>2698967625</v>
      </c>
      <c r="E10" s="60">
        <v>1615919676</v>
      </c>
      <c r="F10" s="60">
        <v>3593751918</v>
      </c>
      <c r="G10" s="60">
        <v>6298566355</v>
      </c>
    </row>
    <row r="11" spans="1:7" x14ac:dyDescent="0.3">
      <c r="A11" s="65" t="s">
        <v>545</v>
      </c>
      <c r="B11" s="66">
        <f t="shared" si="0"/>
        <v>46652531157</v>
      </c>
      <c r="C11" s="58">
        <f>3650440139</f>
        <v>3650440139</v>
      </c>
      <c r="D11" s="58">
        <f>8169182240</f>
        <v>8169182240</v>
      </c>
      <c r="E11" s="60">
        <v>4891033963</v>
      </c>
      <c r="F11" s="60">
        <v>10877497780</v>
      </c>
      <c r="G11" s="60">
        <v>19064377035</v>
      </c>
    </row>
    <row r="12" spans="1:7" x14ac:dyDescent="0.3">
      <c r="A12" s="65" t="s">
        <v>546</v>
      </c>
      <c r="B12" s="66">
        <f t="shared" si="0"/>
        <v>23757808479</v>
      </c>
      <c r="C12" s="58">
        <f>1853347097</f>
        <v>1853347097</v>
      </c>
      <c r="D12" s="58">
        <f>4161228737</f>
        <v>4161228737</v>
      </c>
      <c r="E12" s="60">
        <v>2491401279</v>
      </c>
      <c r="F12" s="60">
        <v>5540794050</v>
      </c>
      <c r="G12" s="60">
        <v>9711037316</v>
      </c>
    </row>
    <row r="13" spans="1:7" x14ac:dyDescent="0.3">
      <c r="A13" s="65" t="s">
        <v>547</v>
      </c>
      <c r="B13" s="66">
        <f t="shared" si="0"/>
        <v>49403861811</v>
      </c>
      <c r="C13" s="58">
        <f>3879331197</f>
        <v>3879331197</v>
      </c>
      <c r="D13" s="58">
        <f>8648374490</f>
        <v>8648374490</v>
      </c>
      <c r="E13" s="60">
        <v>5177934842</v>
      </c>
      <c r="F13" s="60">
        <v>11515555848</v>
      </c>
      <c r="G13" s="60">
        <v>20182665434</v>
      </c>
    </row>
    <row r="14" spans="1:7" x14ac:dyDescent="0.3">
      <c r="A14" s="65" t="s">
        <v>548</v>
      </c>
      <c r="B14" s="66">
        <f t="shared" si="0"/>
        <v>30340852567</v>
      </c>
      <c r="C14" s="58">
        <f>2369521587</f>
        <v>2369521587</v>
      </c>
      <c r="D14" s="58">
        <f>5313762537</f>
        <v>5313762537</v>
      </c>
      <c r="E14" s="60">
        <v>3181443659</v>
      </c>
      <c r="F14" s="60">
        <v>7075425484</v>
      </c>
      <c r="G14" s="60">
        <v>12400699300</v>
      </c>
    </row>
    <row r="15" spans="1:7" x14ac:dyDescent="0.3">
      <c r="A15" s="65" t="s">
        <v>549</v>
      </c>
      <c r="B15" s="66">
        <f t="shared" si="0"/>
        <v>48771473646</v>
      </c>
      <c r="C15" s="2">
        <f>3811546025</f>
        <v>3811546025</v>
      </c>
      <c r="D15" s="58">
        <f>8541115875</f>
        <v>8541115875</v>
      </c>
      <c r="E15" s="60">
        <v>5113717211</v>
      </c>
      <c r="F15" s="60">
        <v>11372737960</v>
      </c>
      <c r="G15" s="60">
        <v>19932356575</v>
      </c>
    </row>
    <row r="16" spans="1:7" x14ac:dyDescent="0.3">
      <c r="A16" s="65" t="s">
        <v>550</v>
      </c>
      <c r="B16" s="66">
        <f t="shared" si="0"/>
        <v>62896491527</v>
      </c>
      <c r="C16" s="58">
        <f>4935199714</f>
        <v>4935199714</v>
      </c>
      <c r="D16" s="58">
        <f>11011007709</f>
        <v>11011007709</v>
      </c>
      <c r="E16" s="60">
        <v>6592485158</v>
      </c>
      <c r="F16" s="60">
        <v>14661468968</v>
      </c>
      <c r="G16" s="60">
        <v>25696329978</v>
      </c>
    </row>
    <row r="17" spans="1:7" x14ac:dyDescent="0.3">
      <c r="A17" s="65" t="s">
        <v>551</v>
      </c>
      <c r="B17" s="66">
        <f t="shared" si="0"/>
        <v>18910362059</v>
      </c>
      <c r="C17" s="58">
        <f>1478647319</f>
        <v>1478647319</v>
      </c>
      <c r="D17" s="58">
        <f>3311533256</f>
        <v>3311533256</v>
      </c>
      <c r="E17" s="60">
        <v>1982673559</v>
      </c>
      <c r="F17" s="60">
        <v>4409400424</v>
      </c>
      <c r="G17" s="60">
        <v>7728107501</v>
      </c>
    </row>
    <row r="18" spans="1:7" x14ac:dyDescent="0.3">
      <c r="A18" s="65" t="s">
        <v>552</v>
      </c>
      <c r="B18" s="66">
        <f t="shared" si="0"/>
        <v>15604390061</v>
      </c>
      <c r="C18" s="58">
        <f>1219263137</f>
        <v>1219263137</v>
      </c>
      <c r="D18" s="58">
        <f>2732767654</f>
        <v>2732767654</v>
      </c>
      <c r="E18" s="60">
        <v>1636156351</v>
      </c>
      <c r="F18" s="60">
        <v>3638757616</v>
      </c>
      <c r="G18" s="60">
        <v>6377445303</v>
      </c>
    </row>
    <row r="19" spans="1:7" x14ac:dyDescent="0.3">
      <c r="A19" s="65" t="s">
        <v>553</v>
      </c>
      <c r="B19" s="66">
        <f t="shared" si="0"/>
        <v>33078323983</v>
      </c>
      <c r="C19" s="58">
        <f>2587132801</f>
        <v>2587132801</v>
      </c>
      <c r="D19" s="58">
        <f>5792464775</f>
        <v>5792464775</v>
      </c>
      <c r="E19" s="60">
        <v>3468051160</v>
      </c>
      <c r="F19" s="60">
        <v>7712831087</v>
      </c>
      <c r="G19" s="60">
        <v>13517844160</v>
      </c>
    </row>
    <row r="20" spans="1:7" x14ac:dyDescent="0.3">
      <c r="A20" s="65" t="s">
        <v>554</v>
      </c>
      <c r="B20" s="66">
        <f t="shared" si="0"/>
        <v>30161775327</v>
      </c>
      <c r="C20" s="58">
        <f>2352149648</f>
        <v>2352149648</v>
      </c>
      <c r="D20" s="58">
        <f>5283043099</f>
        <v>5283043099</v>
      </c>
      <c r="E20" s="60">
        <v>3163051388</v>
      </c>
      <c r="F20" s="60">
        <v>7034521681</v>
      </c>
      <c r="G20" s="60">
        <v>12329009511</v>
      </c>
    </row>
    <row r="21" spans="1:7" x14ac:dyDescent="0.3">
      <c r="A21" s="65" t="s">
        <v>555</v>
      </c>
      <c r="B21" s="66">
        <f t="shared" si="0"/>
        <v>53097293967</v>
      </c>
      <c r="C21" s="58">
        <f>4166293048</f>
        <v>4166293048</v>
      </c>
      <c r="D21" s="58">
        <f>9295507596</f>
        <v>9295507596</v>
      </c>
      <c r="E21" s="60">
        <v>5565384884</v>
      </c>
      <c r="F21" s="60">
        <v>12377231927</v>
      </c>
      <c r="G21" s="60">
        <v>21692876512</v>
      </c>
    </row>
    <row r="22" spans="1:7" x14ac:dyDescent="0.3">
      <c r="A22" s="65" t="s">
        <v>556</v>
      </c>
      <c r="B22" s="66">
        <f t="shared" si="0"/>
        <v>32281938939</v>
      </c>
      <c r="C22" s="58">
        <f>2520944111</f>
        <v>2520944111</v>
      </c>
      <c r="D22" s="58">
        <f>5653748100</f>
        <v>5653748100</v>
      </c>
      <c r="E22" s="60">
        <v>3384999032</v>
      </c>
      <c r="F22" s="60">
        <v>7528125901</v>
      </c>
      <c r="G22" s="60">
        <v>13194121795</v>
      </c>
    </row>
    <row r="23" spans="1:7" x14ac:dyDescent="0.3">
      <c r="A23" s="65" t="s">
        <v>557</v>
      </c>
      <c r="B23" s="66">
        <f t="shared" si="0"/>
        <v>77994246197</v>
      </c>
      <c r="C23" s="58">
        <f>6118920615</f>
        <v>6118920615</v>
      </c>
      <c r="D23" s="58">
        <f>13654280975</f>
        <v>13654280975</v>
      </c>
      <c r="E23" s="60">
        <v>8175059635</v>
      </c>
      <c r="F23" s="60">
        <v>18181062268</v>
      </c>
      <c r="G23" s="60">
        <v>31864922704</v>
      </c>
    </row>
    <row r="24" spans="1:7" x14ac:dyDescent="0.3">
      <c r="A24" s="65" t="s">
        <v>558</v>
      </c>
      <c r="B24" s="66">
        <f t="shared" si="0"/>
        <v>32035070757</v>
      </c>
      <c r="C24" s="58">
        <f>2508307747</f>
        <v>2508307747</v>
      </c>
      <c r="D24" s="58">
        <f>5609250673</f>
        <v>5609250673</v>
      </c>
      <c r="E24" s="60">
        <v>3358357635</v>
      </c>
      <c r="F24" s="60">
        <v>7468876315</v>
      </c>
      <c r="G24" s="60">
        <v>13090278387</v>
      </c>
    </row>
    <row r="25" spans="1:7" x14ac:dyDescent="0.3">
      <c r="A25" s="65" t="s">
        <v>559</v>
      </c>
      <c r="B25" s="66">
        <f t="shared" si="0"/>
        <v>23570924333</v>
      </c>
      <c r="C25" s="58">
        <f>1833763263</f>
        <v>1833763263</v>
      </c>
      <c r="D25" s="58">
        <f>4129446405</f>
        <v>4129446405</v>
      </c>
      <c r="E25" s="60">
        <v>2472372635</v>
      </c>
      <c r="F25" s="60">
        <v>5498474973</v>
      </c>
      <c r="G25" s="60">
        <v>9636867057</v>
      </c>
    </row>
    <row r="26" spans="1:7" x14ac:dyDescent="0.3">
      <c r="A26" s="65" t="s">
        <v>560</v>
      </c>
      <c r="B26" s="66">
        <f t="shared" si="0"/>
        <v>33259618350</v>
      </c>
      <c r="C26" s="58">
        <f>637731982+2550927929</f>
        <v>3188659911</v>
      </c>
      <c r="D26" s="58">
        <f>5712632428</f>
        <v>5712632428</v>
      </c>
      <c r="E26" s="60">
        <v>3420254121</v>
      </c>
      <c r="F26" s="60">
        <v>7606532053</v>
      </c>
      <c r="G26" s="60">
        <v>13331539837</v>
      </c>
    </row>
    <row r="27" spans="1:7" x14ac:dyDescent="0.3">
      <c r="A27" s="65" t="s">
        <v>561</v>
      </c>
      <c r="B27" s="66">
        <f t="shared" si="0"/>
        <v>33346583867</v>
      </c>
      <c r="C27" s="58">
        <f>2607808706</f>
        <v>2607808706</v>
      </c>
      <c r="D27" s="58">
        <f>5839498736</f>
        <v>5839498736</v>
      </c>
      <c r="E27" s="60">
        <v>3496211224</v>
      </c>
      <c r="F27" s="60">
        <v>7775458138</v>
      </c>
      <c r="G27" s="60">
        <v>13627607063</v>
      </c>
    </row>
    <row r="28" spans="1:7" x14ac:dyDescent="0.3">
      <c r="A28" s="65" t="s">
        <v>562</v>
      </c>
      <c r="B28" s="66">
        <f t="shared" si="0"/>
        <v>37404204504</v>
      </c>
      <c r="C28" s="58">
        <f>2940839988</f>
        <v>2940839988</v>
      </c>
      <c r="D28" s="58">
        <f>6547065472</f>
        <v>6547065472</v>
      </c>
      <c r="E28" s="60">
        <v>3919843950</v>
      </c>
      <c r="F28" s="60">
        <v>8717603311</v>
      </c>
      <c r="G28" s="60">
        <v>15278851783</v>
      </c>
    </row>
    <row r="29" spans="1:7" x14ac:dyDescent="0.3">
      <c r="A29" s="65" t="s">
        <v>563</v>
      </c>
      <c r="B29" s="66">
        <f t="shared" si="0"/>
        <v>28840695804</v>
      </c>
      <c r="C29" s="58">
        <f>2254253332</f>
        <v>2254253332</v>
      </c>
      <c r="D29" s="58">
        <f>5050672852</f>
        <v>5050672852</v>
      </c>
      <c r="E29" s="60">
        <v>3023927209</v>
      </c>
      <c r="F29" s="60">
        <v>6725114108</v>
      </c>
      <c r="G29" s="60">
        <v>11786728303</v>
      </c>
    </row>
    <row r="30" spans="1:7" x14ac:dyDescent="0.3">
      <c r="A30" s="65" t="s">
        <v>564</v>
      </c>
      <c r="B30" s="66">
        <f t="shared" si="0"/>
        <v>26277905257</v>
      </c>
      <c r="C30" s="58">
        <f>2053088490</f>
        <v>2053088490</v>
      </c>
      <c r="D30" s="58">
        <f>4602030697</f>
        <v>4602030697</v>
      </c>
      <c r="E30" s="60">
        <v>2755317212</v>
      </c>
      <c r="F30" s="60">
        <v>6127734358</v>
      </c>
      <c r="G30" s="60">
        <v>10739734500</v>
      </c>
    </row>
    <row r="31" spans="1:7" x14ac:dyDescent="0.3">
      <c r="A31" s="65" t="s">
        <v>565</v>
      </c>
      <c r="B31" s="66">
        <f t="shared" si="0"/>
        <v>97951420825</v>
      </c>
      <c r="C31" s="58">
        <f>7665095071</f>
        <v>7665095071</v>
      </c>
      <c r="D31" s="58">
        <f>17151850792</f>
        <v>17151850792</v>
      </c>
      <c r="E31" s="60">
        <v>10269116575</v>
      </c>
      <c r="F31" s="60">
        <v>22838175649</v>
      </c>
      <c r="G31" s="60">
        <v>40027182738</v>
      </c>
    </row>
    <row r="32" spans="1:7" x14ac:dyDescent="0.3">
      <c r="A32" s="65" t="s">
        <v>566</v>
      </c>
      <c r="B32" s="66">
        <f t="shared" si="0"/>
        <v>18982099084</v>
      </c>
      <c r="C32" s="58">
        <f>1487075371</f>
        <v>1487075371</v>
      </c>
      <c r="D32" s="58">
        <f>3323560172</f>
        <v>3323560172</v>
      </c>
      <c r="E32" s="60">
        <v>1989874286</v>
      </c>
      <c r="F32" s="60">
        <v>4425414604</v>
      </c>
      <c r="G32" s="60">
        <v>7756174651</v>
      </c>
    </row>
    <row r="33" spans="1:7" x14ac:dyDescent="0.3">
      <c r="A33" s="65" t="s">
        <v>567</v>
      </c>
      <c r="B33" s="66">
        <f t="shared" si="0"/>
        <v>1707004214</v>
      </c>
      <c r="C33" s="58">
        <v>150342861</v>
      </c>
      <c r="D33" s="58">
        <v>333673513</v>
      </c>
      <c r="E33" s="60"/>
      <c r="F33" s="60">
        <v>444295743</v>
      </c>
      <c r="G33" s="60">
        <v>778692097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996"/>
  <sheetViews>
    <sheetView topLeftCell="A10" workbookViewId="0">
      <selection activeCell="B18" sqref="B18"/>
    </sheetView>
  </sheetViews>
  <sheetFormatPr defaultColWidth="15.109375" defaultRowHeight="13.8" x14ac:dyDescent="0.3"/>
  <cols>
    <col min="1" max="1" width="7.6640625" style="88" bestFit="1" customWidth="1"/>
    <col min="2" max="2" width="38.44140625" style="88" customWidth="1"/>
    <col min="3" max="3" width="24.109375" style="88" bestFit="1" customWidth="1"/>
    <col min="4" max="4" width="24.88671875" style="88" bestFit="1" customWidth="1"/>
    <col min="5" max="5" width="22.33203125" style="88" customWidth="1"/>
    <col min="6" max="6" width="16.33203125" style="112" customWidth="1"/>
    <col min="7" max="7" width="18" style="112" customWidth="1"/>
    <col min="8" max="8" width="20.44140625" style="112" customWidth="1"/>
    <col min="9" max="9" width="23.5546875" style="112" bestFit="1" customWidth="1"/>
    <col min="10" max="10" width="13.5546875" style="112" bestFit="1" customWidth="1"/>
    <col min="11" max="11" width="15.6640625" style="112" bestFit="1" customWidth="1"/>
    <col min="12" max="12" width="21.44140625" style="112" customWidth="1"/>
    <col min="13" max="13" width="20" style="112" customWidth="1"/>
    <col min="14" max="14" width="20.33203125" style="112" customWidth="1"/>
    <col min="15" max="15" width="17.44140625" style="112" bestFit="1" customWidth="1"/>
    <col min="16" max="16" width="18.5546875" style="112" bestFit="1" customWidth="1"/>
    <col min="17" max="17" width="16.33203125" style="112" bestFit="1" customWidth="1"/>
    <col min="18" max="18" width="14.5546875" style="112" bestFit="1" customWidth="1"/>
    <col min="19" max="19" width="16.33203125" style="112" bestFit="1" customWidth="1"/>
    <col min="20" max="20" width="14.5546875" style="112" bestFit="1" customWidth="1"/>
    <col min="21" max="21" width="16.88671875" style="112" bestFit="1" customWidth="1"/>
    <col min="22" max="22" width="18.5546875" style="112" bestFit="1" customWidth="1"/>
    <col min="23" max="23" width="14.5546875" style="112" bestFit="1" customWidth="1"/>
    <col min="24" max="25" width="16.88671875" style="112" bestFit="1" customWidth="1"/>
    <col min="26" max="27" width="15.6640625" style="112" bestFit="1" customWidth="1"/>
    <col min="28" max="28" width="16.88671875" style="112" bestFit="1" customWidth="1"/>
    <col min="29" max="29" width="18.5546875" style="112" bestFit="1" customWidth="1"/>
    <col min="30" max="30" width="14.5546875" style="112" bestFit="1" customWidth="1"/>
    <col min="31" max="31" width="16.88671875" style="112" bestFit="1" customWidth="1"/>
    <col min="32" max="32" width="15.109375" style="112"/>
    <col min="33" max="33" width="15.6640625" style="112" bestFit="1" customWidth="1"/>
    <col min="34" max="34" width="18.5546875" style="113" bestFit="1" customWidth="1"/>
    <col min="35" max="35" width="18.5546875" style="88" bestFit="1" customWidth="1"/>
    <col min="36" max="39" width="18.5546875" style="88" customWidth="1"/>
    <col min="40" max="40" width="18.5546875" style="88" bestFit="1" customWidth="1"/>
    <col min="41" max="42" width="17.44140625" style="88" customWidth="1"/>
    <col min="43" max="43" width="16.88671875" style="88" bestFit="1" customWidth="1"/>
    <col min="44" max="44" width="18.5546875" style="88" bestFit="1" customWidth="1"/>
    <col min="45" max="45" width="19.6640625" style="88" bestFit="1" customWidth="1"/>
    <col min="46" max="46" width="23.6640625" style="88" customWidth="1"/>
    <col min="47" max="58" width="19.109375" style="88" customWidth="1"/>
    <col min="59" max="59" width="19.5546875" style="88" bestFit="1" customWidth="1"/>
    <col min="60" max="16384" width="15.109375" style="88"/>
  </cols>
  <sheetData>
    <row r="1" spans="1:60" s="93" customFormat="1" ht="30" customHeight="1" x14ac:dyDescent="0.3">
      <c r="A1" s="89" t="s">
        <v>620</v>
      </c>
      <c r="B1" s="90" t="s">
        <v>621</v>
      </c>
      <c r="C1" s="90" t="s">
        <v>622</v>
      </c>
      <c r="D1" s="90" t="s">
        <v>623</v>
      </c>
      <c r="E1" s="90" t="s">
        <v>642</v>
      </c>
      <c r="F1" s="91">
        <v>41100</v>
      </c>
      <c r="G1" s="91">
        <v>41113</v>
      </c>
      <c r="H1" s="91">
        <v>41118</v>
      </c>
      <c r="I1" s="91">
        <v>41131</v>
      </c>
      <c r="J1" s="91">
        <v>41132</v>
      </c>
      <c r="K1" s="91">
        <v>41133</v>
      </c>
      <c r="L1" s="91">
        <v>6294</v>
      </c>
      <c r="M1" s="91">
        <v>41137</v>
      </c>
      <c r="N1" s="91">
        <v>41139</v>
      </c>
      <c r="O1" s="91">
        <v>41141</v>
      </c>
      <c r="P1" s="91">
        <v>6299</v>
      </c>
      <c r="Q1" s="91">
        <v>41151</v>
      </c>
      <c r="R1" s="91">
        <v>41161</v>
      </c>
      <c r="S1" s="91">
        <v>41166</v>
      </c>
      <c r="T1" s="91">
        <v>41171</v>
      </c>
      <c r="U1" s="91">
        <v>6304</v>
      </c>
      <c r="V1" s="91">
        <v>6305</v>
      </c>
      <c r="W1" s="91">
        <v>41177</v>
      </c>
      <c r="X1" s="91">
        <v>6307</v>
      </c>
      <c r="Y1" s="91">
        <v>6312</v>
      </c>
      <c r="Z1" s="91">
        <v>41181</v>
      </c>
      <c r="AA1" s="91">
        <v>41186</v>
      </c>
      <c r="AB1" s="91">
        <v>6314</v>
      </c>
      <c r="AC1" s="91">
        <v>6315</v>
      </c>
      <c r="AD1" s="91">
        <v>41192</v>
      </c>
      <c r="AE1" s="91" t="s">
        <v>624</v>
      </c>
      <c r="AF1" s="91">
        <v>41205</v>
      </c>
      <c r="AG1" s="91">
        <v>41209</v>
      </c>
      <c r="AH1" s="92">
        <v>41219</v>
      </c>
      <c r="AI1" s="91">
        <v>6328</v>
      </c>
      <c r="AJ1" s="91">
        <v>41225</v>
      </c>
      <c r="AK1" s="91">
        <v>41229</v>
      </c>
      <c r="AL1" s="91">
        <v>41234</v>
      </c>
      <c r="AM1" s="91">
        <v>41239</v>
      </c>
      <c r="AN1" s="91">
        <v>6331</v>
      </c>
      <c r="AO1" s="91">
        <v>6334</v>
      </c>
      <c r="AP1" s="91">
        <v>41263</v>
      </c>
      <c r="AQ1" s="91">
        <v>6335</v>
      </c>
      <c r="AR1" s="91">
        <v>6336</v>
      </c>
      <c r="AS1" s="91">
        <v>6340</v>
      </c>
      <c r="AT1" s="91">
        <v>6349</v>
      </c>
      <c r="AU1" s="91">
        <v>6352</v>
      </c>
      <c r="AV1" s="91">
        <v>41269</v>
      </c>
      <c r="AW1" s="91">
        <v>41274</v>
      </c>
      <c r="AX1" s="91">
        <v>41276</v>
      </c>
      <c r="AY1" s="91">
        <v>41278</v>
      </c>
      <c r="AZ1" s="91">
        <v>41279</v>
      </c>
      <c r="BA1" s="91">
        <v>41283</v>
      </c>
      <c r="BB1" s="91">
        <v>41293</v>
      </c>
      <c r="BC1" s="91">
        <v>41303</v>
      </c>
      <c r="BD1" s="91">
        <v>41304</v>
      </c>
      <c r="BE1" s="91">
        <v>41306</v>
      </c>
      <c r="BF1" s="91">
        <v>41308</v>
      </c>
    </row>
    <row r="2" spans="1:60" x14ac:dyDescent="0.3">
      <c r="A2" s="106">
        <v>1</v>
      </c>
      <c r="B2" s="120" t="s">
        <v>225</v>
      </c>
      <c r="C2" s="94">
        <f>D2+E2</f>
        <v>27945757461</v>
      </c>
      <c r="D2" s="94">
        <v>27945757461</v>
      </c>
      <c r="E2" s="95">
        <f t="shared" ref="E2:E33" si="0">+SUM(F2:DC2)</f>
        <v>0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7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9"/>
      <c r="BH2" s="99"/>
    </row>
    <row r="3" spans="1:60" x14ac:dyDescent="0.3">
      <c r="A3" s="106">
        <v>2</v>
      </c>
      <c r="B3" s="120" t="s">
        <v>36</v>
      </c>
      <c r="C3" s="94">
        <f t="shared" ref="C3:C54" si="1">D3+E3</f>
        <v>56322108740</v>
      </c>
      <c r="D3" s="94">
        <v>5502164176</v>
      </c>
      <c r="E3" s="95">
        <f t="shared" si="0"/>
        <v>50819944564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>
        <v>211688714</v>
      </c>
      <c r="Q3" s="96"/>
      <c r="R3" s="96"/>
      <c r="S3" s="96"/>
      <c r="T3" s="96"/>
      <c r="U3" s="96"/>
      <c r="V3" s="96">
        <v>1934036501</v>
      </c>
      <c r="W3" s="96"/>
      <c r="X3" s="96"/>
      <c r="Y3" s="96"/>
      <c r="Z3" s="96"/>
      <c r="AA3" s="96"/>
      <c r="AB3" s="96"/>
      <c r="AC3" s="96">
        <v>957387805</v>
      </c>
      <c r="AD3" s="96"/>
      <c r="AE3" s="96"/>
      <c r="AF3" s="96"/>
      <c r="AG3" s="96"/>
      <c r="AH3" s="97"/>
      <c r="AI3" s="98">
        <v>5383142706</v>
      </c>
      <c r="AJ3" s="98"/>
      <c r="AK3" s="98"/>
      <c r="AL3" s="98"/>
      <c r="AM3" s="98"/>
      <c r="AN3" s="98">
        <v>6887892595</v>
      </c>
      <c r="AO3" s="98"/>
      <c r="AP3" s="98"/>
      <c r="AQ3" s="98"/>
      <c r="AR3" s="98">
        <v>27269655511</v>
      </c>
      <c r="AS3" s="98">
        <v>6312710332</v>
      </c>
      <c r="AT3" s="98">
        <v>1863430400</v>
      </c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9"/>
      <c r="BH3" s="99"/>
    </row>
    <row r="4" spans="1:60" x14ac:dyDescent="0.3">
      <c r="A4" s="106">
        <v>3</v>
      </c>
      <c r="B4" s="120" t="s">
        <v>37</v>
      </c>
      <c r="C4" s="94">
        <f t="shared" si="1"/>
        <v>1028154002897</v>
      </c>
      <c r="D4" s="94">
        <v>15576794550</v>
      </c>
      <c r="E4" s="95">
        <f t="shared" si="0"/>
        <v>1012577208347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>
        <v>25323383823</v>
      </c>
      <c r="Q4" s="96"/>
      <c r="R4" s="96"/>
      <c r="S4" s="96"/>
      <c r="T4" s="96"/>
      <c r="U4" s="96"/>
      <c r="V4" s="96">
        <v>6059512443</v>
      </c>
      <c r="W4" s="96"/>
      <c r="X4" s="96"/>
      <c r="Y4" s="96">
        <v>177889915013</v>
      </c>
      <c r="Z4" s="96"/>
      <c r="AA4" s="96"/>
      <c r="AB4" s="96"/>
      <c r="AC4" s="96">
        <v>13221017013</v>
      </c>
      <c r="AD4" s="96"/>
      <c r="AE4" s="96"/>
      <c r="AF4" s="96"/>
      <c r="AG4" s="96"/>
      <c r="AH4" s="97"/>
      <c r="AI4" s="98">
        <v>8437236877</v>
      </c>
      <c r="AJ4" s="98"/>
      <c r="AK4" s="98"/>
      <c r="AL4" s="98">
        <v>240000000000</v>
      </c>
      <c r="AM4" s="98"/>
      <c r="AN4" s="98">
        <v>4524617916</v>
      </c>
      <c r="AO4" s="98">
        <v>42728000000</v>
      </c>
      <c r="AP4" s="98"/>
      <c r="AQ4" s="98"/>
      <c r="AR4" s="98">
        <v>30486236757</v>
      </c>
      <c r="AS4" s="98">
        <v>52059201024</v>
      </c>
      <c r="AT4" s="98">
        <f>12099108572</f>
        <v>12099108572</v>
      </c>
      <c r="AU4" s="98"/>
      <c r="AV4" s="98"/>
      <c r="AW4" s="98"/>
      <c r="AX4" s="98"/>
      <c r="AY4" s="98">
        <v>399709008009</v>
      </c>
      <c r="AZ4" s="98">
        <v>39970900</v>
      </c>
      <c r="BA4" s="98"/>
      <c r="BB4" s="98"/>
      <c r="BC4" s="98"/>
      <c r="BD4" s="98"/>
      <c r="BE4" s="98"/>
      <c r="BF4" s="98"/>
      <c r="BG4" s="99"/>
      <c r="BH4" s="99"/>
    </row>
    <row r="5" spans="1:60" ht="27.6" x14ac:dyDescent="0.3">
      <c r="A5" s="106">
        <v>6</v>
      </c>
      <c r="B5" s="120" t="s">
        <v>97</v>
      </c>
      <c r="C5" s="94">
        <f t="shared" si="1"/>
        <v>107891214506</v>
      </c>
      <c r="D5" s="94">
        <v>19684975381</v>
      </c>
      <c r="E5" s="95">
        <f t="shared" si="0"/>
        <v>88206239125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>
        <v>5821558979</v>
      </c>
      <c r="W5" s="96"/>
      <c r="X5" s="96"/>
      <c r="Y5" s="96"/>
      <c r="Z5" s="96"/>
      <c r="AA5" s="96"/>
      <c r="AB5" s="96"/>
      <c r="AC5" s="96">
        <v>3830349778</v>
      </c>
      <c r="AD5" s="96"/>
      <c r="AE5" s="96"/>
      <c r="AF5" s="96"/>
      <c r="AG5" s="96"/>
      <c r="AH5" s="97"/>
      <c r="AI5" s="98">
        <v>3619494208</v>
      </c>
      <c r="AJ5" s="98"/>
      <c r="AK5" s="98"/>
      <c r="AL5" s="98"/>
      <c r="AM5" s="98"/>
      <c r="AN5" s="98">
        <v>8877231216</v>
      </c>
      <c r="AO5" s="98"/>
      <c r="AP5" s="98"/>
      <c r="AQ5" s="98"/>
      <c r="AR5" s="98">
        <v>25391510745</v>
      </c>
      <c r="AS5" s="98">
        <v>19275705450</v>
      </c>
      <c r="AT5" s="98">
        <v>21390388749</v>
      </c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9"/>
      <c r="BH5" s="99"/>
    </row>
    <row r="6" spans="1:60" x14ac:dyDescent="0.3">
      <c r="A6" s="106">
        <v>8</v>
      </c>
      <c r="B6" s="120" t="s">
        <v>24</v>
      </c>
      <c r="C6" s="94">
        <f t="shared" si="1"/>
        <v>4433219484516</v>
      </c>
      <c r="D6" s="94">
        <v>767811261398</v>
      </c>
      <c r="E6" s="95">
        <f t="shared" si="0"/>
        <v>3665408223118</v>
      </c>
      <c r="F6" s="96"/>
      <c r="G6" s="96"/>
      <c r="H6" s="96"/>
      <c r="I6" s="96"/>
      <c r="J6" s="96"/>
      <c r="K6" s="96"/>
      <c r="L6" s="96">
        <v>25401805907</v>
      </c>
      <c r="M6" s="96"/>
      <c r="N6" s="96"/>
      <c r="O6" s="96"/>
      <c r="P6" s="96">
        <v>95828868438</v>
      </c>
      <c r="Q6" s="96"/>
      <c r="R6" s="96"/>
      <c r="S6" s="96"/>
      <c r="T6" s="96"/>
      <c r="U6" s="96"/>
      <c r="V6" s="96">
        <v>165712328026</v>
      </c>
      <c r="W6" s="96"/>
      <c r="X6" s="96"/>
      <c r="Y6" s="96"/>
      <c r="Z6" s="96"/>
      <c r="AA6" s="96"/>
      <c r="AB6" s="96"/>
      <c r="AC6" s="96">
        <v>265230478801</v>
      </c>
      <c r="AD6" s="96"/>
      <c r="AE6" s="96"/>
      <c r="AF6" s="96"/>
      <c r="AG6" s="96"/>
      <c r="AH6" s="97"/>
      <c r="AI6" s="98">
        <v>283210896752</v>
      </c>
      <c r="AJ6" s="98"/>
      <c r="AK6" s="98"/>
      <c r="AL6" s="98"/>
      <c r="AM6" s="98"/>
      <c r="AN6" s="98">
        <v>403822210125</v>
      </c>
      <c r="AO6" s="98"/>
      <c r="AP6" s="98"/>
      <c r="AQ6" s="98"/>
      <c r="AR6" s="98">
        <v>580496442794</v>
      </c>
      <c r="AS6" s="98">
        <v>1551374129308</v>
      </c>
      <c r="AT6" s="98">
        <v>294331062967</v>
      </c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9"/>
      <c r="BH6" s="99"/>
    </row>
    <row r="7" spans="1:60" x14ac:dyDescent="0.3">
      <c r="A7" s="106">
        <v>10</v>
      </c>
      <c r="B7" s="120" t="s">
        <v>25</v>
      </c>
      <c r="C7" s="94">
        <f t="shared" si="1"/>
        <v>10353538674852</v>
      </c>
      <c r="D7" s="94">
        <v>1409432880624</v>
      </c>
      <c r="E7" s="95">
        <f t="shared" si="0"/>
        <v>8944105794228</v>
      </c>
      <c r="F7" s="96"/>
      <c r="G7" s="96"/>
      <c r="H7" s="96"/>
      <c r="I7" s="96"/>
      <c r="J7" s="96"/>
      <c r="K7" s="96"/>
      <c r="L7" s="96">
        <v>18893772650</v>
      </c>
      <c r="M7" s="96"/>
      <c r="N7" s="96"/>
      <c r="O7" s="96"/>
      <c r="P7" s="96">
        <v>218680639155</v>
      </c>
      <c r="Q7" s="96"/>
      <c r="R7" s="96"/>
      <c r="S7" s="96">
        <f>-(-14743701804)</f>
        <v>14743701804</v>
      </c>
      <c r="T7" s="96"/>
      <c r="U7" s="96"/>
      <c r="V7" s="96">
        <v>310564194993</v>
      </c>
      <c r="W7" s="96"/>
      <c r="X7" s="96"/>
      <c r="Y7" s="96"/>
      <c r="Z7" s="96"/>
      <c r="AA7" s="96"/>
      <c r="AB7" s="96"/>
      <c r="AC7" s="96">
        <v>1091799667696</v>
      </c>
      <c r="AD7" s="96"/>
      <c r="AE7" s="96"/>
      <c r="AF7" s="96"/>
      <c r="AG7" s="96"/>
      <c r="AH7" s="97"/>
      <c r="AI7" s="98">
        <v>416050351325</v>
      </c>
      <c r="AJ7" s="98"/>
      <c r="AK7" s="98"/>
      <c r="AL7" s="98"/>
      <c r="AM7" s="98"/>
      <c r="AN7" s="98">
        <v>631487176775</v>
      </c>
      <c r="AO7" s="98"/>
      <c r="AP7" s="98"/>
      <c r="AQ7" s="98"/>
      <c r="AR7" s="98">
        <v>1320268679449</v>
      </c>
      <c r="AS7" s="98">
        <v>2411563016063</v>
      </c>
      <c r="AT7" s="98">
        <v>1760054594318</v>
      </c>
      <c r="AU7" s="98">
        <v>750000000000</v>
      </c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9"/>
      <c r="BH7" s="99"/>
    </row>
    <row r="8" spans="1:60" ht="30" customHeight="1" x14ac:dyDescent="0.3">
      <c r="A8" s="106">
        <v>13</v>
      </c>
      <c r="B8" s="120" t="s">
        <v>163</v>
      </c>
      <c r="C8" s="94">
        <f t="shared" si="1"/>
        <v>8083190680369</v>
      </c>
      <c r="D8" s="94">
        <v>1087859322500</v>
      </c>
      <c r="E8" s="95">
        <f t="shared" si="0"/>
        <v>6995331357869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>
        <v>74262898858</v>
      </c>
      <c r="Q8" s="96"/>
      <c r="R8" s="96"/>
      <c r="S8" s="96">
        <v>-14743701804</v>
      </c>
      <c r="T8" s="96"/>
      <c r="U8" s="96"/>
      <c r="V8" s="96">
        <v>394733592766</v>
      </c>
      <c r="W8" s="96"/>
      <c r="X8" s="96"/>
      <c r="Y8" s="96"/>
      <c r="Z8" s="96"/>
      <c r="AA8" s="96"/>
      <c r="AB8" s="96"/>
      <c r="AC8" s="96">
        <v>555875399583</v>
      </c>
      <c r="AD8" s="96"/>
      <c r="AE8" s="96"/>
      <c r="AF8" s="96"/>
      <c r="AG8" s="96"/>
      <c r="AH8" s="97"/>
      <c r="AI8" s="98">
        <v>426996664406</v>
      </c>
      <c r="AJ8" s="98"/>
      <c r="AK8" s="98"/>
      <c r="AL8" s="98"/>
      <c r="AM8" s="98"/>
      <c r="AN8" s="98">
        <v>505771359477</v>
      </c>
      <c r="AO8" s="98"/>
      <c r="AP8" s="98"/>
      <c r="AQ8" s="98"/>
      <c r="AR8" s="98">
        <v>2070228644992</v>
      </c>
      <c r="AS8" s="98">
        <v>1490410872289</v>
      </c>
      <c r="AT8" s="98">
        <v>1491795627302</v>
      </c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9"/>
      <c r="BH8" s="99"/>
    </row>
    <row r="9" spans="1:60" x14ac:dyDescent="0.3">
      <c r="A9" s="106">
        <v>21</v>
      </c>
      <c r="B9" s="120" t="s">
        <v>39</v>
      </c>
      <c r="C9" s="94">
        <f t="shared" si="1"/>
        <v>735675059664</v>
      </c>
      <c r="D9" s="94">
        <v>104584776647</v>
      </c>
      <c r="E9" s="95">
        <f t="shared" si="0"/>
        <v>631090283017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>
        <v>9380783196</v>
      </c>
      <c r="Q9" s="96"/>
      <c r="R9" s="96"/>
      <c r="S9" s="96"/>
      <c r="T9" s="96"/>
      <c r="U9" s="96"/>
      <c r="V9" s="96">
        <v>22989067147</v>
      </c>
      <c r="W9" s="96">
        <v>3728133326</v>
      </c>
      <c r="X9" s="96"/>
      <c r="Y9" s="96"/>
      <c r="Z9" s="96"/>
      <c r="AA9" s="96"/>
      <c r="AB9" s="96"/>
      <c r="AC9" s="96">
        <v>36489239917</v>
      </c>
      <c r="AD9" s="96"/>
      <c r="AE9" s="96"/>
      <c r="AF9" s="96"/>
      <c r="AG9" s="96"/>
      <c r="AH9" s="97">
        <v>10000000000</v>
      </c>
      <c r="AI9" s="98">
        <v>109568740935</v>
      </c>
      <c r="AJ9" s="98"/>
      <c r="AK9" s="98"/>
      <c r="AL9" s="98"/>
      <c r="AM9" s="98"/>
      <c r="AN9" s="98">
        <v>44854442368</v>
      </c>
      <c r="AO9" s="98"/>
      <c r="AP9" s="98"/>
      <c r="AQ9" s="98"/>
      <c r="AR9" s="98">
        <v>96135648057</v>
      </c>
      <c r="AS9" s="98">
        <v>217861944420</v>
      </c>
      <c r="AT9" s="98">
        <v>80082283651</v>
      </c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9"/>
      <c r="BH9" s="99"/>
    </row>
    <row r="10" spans="1:60" x14ac:dyDescent="0.3">
      <c r="A10" s="106">
        <v>23</v>
      </c>
      <c r="B10" s="120" t="s">
        <v>40</v>
      </c>
      <c r="C10" s="94">
        <f t="shared" si="1"/>
        <v>265348564469</v>
      </c>
      <c r="D10" s="94">
        <v>26928675922</v>
      </c>
      <c r="E10" s="95">
        <f t="shared" si="0"/>
        <v>238419888547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>
        <v>2058755520</v>
      </c>
      <c r="Q10" s="96"/>
      <c r="R10" s="96"/>
      <c r="S10" s="96"/>
      <c r="T10" s="96"/>
      <c r="U10" s="96"/>
      <c r="V10" s="96">
        <v>10149726005</v>
      </c>
      <c r="W10" s="96"/>
      <c r="X10" s="96"/>
      <c r="Y10" s="96"/>
      <c r="Z10" s="96"/>
      <c r="AA10" s="96"/>
      <c r="AB10" s="96"/>
      <c r="AC10" s="96">
        <v>18429206230</v>
      </c>
      <c r="AD10" s="96"/>
      <c r="AE10" s="96"/>
      <c r="AF10" s="96"/>
      <c r="AG10" s="96"/>
      <c r="AH10" s="97"/>
      <c r="AI10" s="98">
        <v>13928429301</v>
      </c>
      <c r="AJ10" s="98"/>
      <c r="AK10" s="98"/>
      <c r="AL10" s="98"/>
      <c r="AM10" s="98"/>
      <c r="AN10" s="98">
        <v>37539606707</v>
      </c>
      <c r="AO10" s="98"/>
      <c r="AP10" s="98"/>
      <c r="AQ10" s="98"/>
      <c r="AR10" s="98">
        <v>70007434509</v>
      </c>
      <c r="AS10" s="98">
        <v>78852604511</v>
      </c>
      <c r="AT10" s="98">
        <v>7454125764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9"/>
      <c r="BH10" s="99"/>
    </row>
    <row r="11" spans="1:60" x14ac:dyDescent="0.3">
      <c r="A11" s="106">
        <v>25</v>
      </c>
      <c r="B11" s="120" t="s">
        <v>26</v>
      </c>
      <c r="C11" s="94">
        <f t="shared" si="1"/>
        <v>16304891315</v>
      </c>
      <c r="D11" s="94">
        <v>1073939769</v>
      </c>
      <c r="E11" s="95">
        <f t="shared" si="0"/>
        <v>15230951546</v>
      </c>
      <c r="F11" s="96"/>
      <c r="G11" s="96"/>
      <c r="H11" s="96"/>
      <c r="I11" s="96"/>
      <c r="J11" s="96"/>
      <c r="K11" s="96"/>
      <c r="L11" s="96">
        <v>285453878</v>
      </c>
      <c r="M11" s="96"/>
      <c r="N11" s="96"/>
      <c r="O11" s="96"/>
      <c r="P11" s="96">
        <v>330858045</v>
      </c>
      <c r="Q11" s="96"/>
      <c r="R11" s="96"/>
      <c r="S11" s="96"/>
      <c r="T11" s="96"/>
      <c r="U11" s="96"/>
      <c r="V11" s="96">
        <v>3723006494</v>
      </c>
      <c r="W11" s="96"/>
      <c r="X11" s="96"/>
      <c r="Y11" s="96"/>
      <c r="Z11" s="96"/>
      <c r="AA11" s="96"/>
      <c r="AB11" s="96"/>
      <c r="AC11" s="96">
        <v>4544969527</v>
      </c>
      <c r="AD11" s="96"/>
      <c r="AE11" s="96"/>
      <c r="AF11" s="96"/>
      <c r="AG11" s="96"/>
      <c r="AH11" s="97"/>
      <c r="AI11" s="98">
        <v>105675323</v>
      </c>
      <c r="AJ11" s="98"/>
      <c r="AK11" s="98"/>
      <c r="AL11" s="98"/>
      <c r="AM11" s="98"/>
      <c r="AN11" s="98">
        <v>764273415</v>
      </c>
      <c r="AO11" s="98"/>
      <c r="AP11" s="98"/>
      <c r="AQ11" s="98"/>
      <c r="AR11" s="98">
        <v>1571243074</v>
      </c>
      <c r="AS11" s="98">
        <v>3086333062</v>
      </c>
      <c r="AT11" s="98">
        <v>819138728</v>
      </c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9"/>
      <c r="BH11" s="99"/>
    </row>
    <row r="12" spans="1:60" ht="30" customHeight="1" x14ac:dyDescent="0.3">
      <c r="A12" s="106">
        <v>26</v>
      </c>
      <c r="B12" s="120" t="s">
        <v>41</v>
      </c>
      <c r="C12" s="94">
        <f t="shared" si="1"/>
        <v>7835711849064</v>
      </c>
      <c r="D12" s="94">
        <v>1627675622787</v>
      </c>
      <c r="E12" s="95">
        <f t="shared" si="0"/>
        <v>6208036226277</v>
      </c>
      <c r="F12" s="96"/>
      <c r="G12" s="96"/>
      <c r="H12" s="96"/>
      <c r="I12" s="96"/>
      <c r="J12" s="96"/>
      <c r="K12" s="96"/>
      <c r="L12" s="96">
        <v>15454706416</v>
      </c>
      <c r="M12" s="96">
        <v>90441672742</v>
      </c>
      <c r="N12" s="96"/>
      <c r="O12" s="96">
        <v>202213113538</v>
      </c>
      <c r="P12" s="96">
        <v>47797217621</v>
      </c>
      <c r="Q12" s="96"/>
      <c r="R12" s="96"/>
      <c r="S12" s="96"/>
      <c r="T12" s="96"/>
      <c r="U12" s="96">
        <v>113803957245</v>
      </c>
      <c r="V12" s="96">
        <v>25252334091</v>
      </c>
      <c r="W12" s="96"/>
      <c r="X12" s="96"/>
      <c r="Y12" s="96"/>
      <c r="Z12" s="96"/>
      <c r="AA12" s="96">
        <f>4454793000+3480000000+2910000000+1900000000</f>
        <v>12744793000</v>
      </c>
      <c r="AB12" s="96">
        <v>121068569282</v>
      </c>
      <c r="AC12" s="96">
        <v>66005674070</v>
      </c>
      <c r="AD12" s="96"/>
      <c r="AE12" s="96"/>
      <c r="AF12" s="96"/>
      <c r="AG12" s="96"/>
      <c r="AH12" s="97"/>
      <c r="AI12" s="98">
        <v>45717444782</v>
      </c>
      <c r="AJ12" s="98">
        <v>269252494181</v>
      </c>
      <c r="AK12" s="98"/>
      <c r="AL12" s="98"/>
      <c r="AM12" s="98"/>
      <c r="AN12" s="98">
        <v>120567395172</v>
      </c>
      <c r="AO12" s="98"/>
      <c r="AP12" s="98"/>
      <c r="AQ12" s="98">
        <v>471903664842</v>
      </c>
      <c r="AR12" s="98">
        <v>314161969148</v>
      </c>
      <c r="AS12" s="98">
        <v>384482115443</v>
      </c>
      <c r="AT12" s="98">
        <v>299774778005</v>
      </c>
      <c r="AU12" s="98">
        <f>3301530388772+260324377827</f>
        <v>3561854766599</v>
      </c>
      <c r="AV12" s="98"/>
      <c r="AW12" s="98"/>
      <c r="AX12" s="98"/>
      <c r="AY12" s="98">
        <v>45539560100</v>
      </c>
      <c r="AZ12" s="98"/>
      <c r="BA12" s="98"/>
      <c r="BB12" s="98"/>
      <c r="BC12" s="98"/>
      <c r="BD12" s="98"/>
      <c r="BE12" s="98"/>
      <c r="BF12" s="98"/>
      <c r="BG12" s="99"/>
      <c r="BH12" s="99"/>
    </row>
    <row r="13" spans="1:60" x14ac:dyDescent="0.3">
      <c r="A13" s="106">
        <v>32</v>
      </c>
      <c r="B13" s="120" t="s">
        <v>42</v>
      </c>
      <c r="C13" s="94">
        <f t="shared" si="1"/>
        <v>19067896870</v>
      </c>
      <c r="D13" s="94">
        <v>2448728397</v>
      </c>
      <c r="E13" s="95">
        <f t="shared" si="0"/>
        <v>16619168473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>
        <v>330219023</v>
      </c>
      <c r="Q13" s="96"/>
      <c r="R13" s="96"/>
      <c r="S13" s="96"/>
      <c r="T13" s="96"/>
      <c r="U13" s="96"/>
      <c r="V13" s="96">
        <v>1225644585</v>
      </c>
      <c r="W13" s="96"/>
      <c r="X13" s="96"/>
      <c r="Y13" s="96"/>
      <c r="Z13" s="96"/>
      <c r="AA13" s="96"/>
      <c r="AB13" s="96"/>
      <c r="AC13" s="96">
        <v>578017836</v>
      </c>
      <c r="AD13" s="96"/>
      <c r="AE13" s="96"/>
      <c r="AF13" s="96"/>
      <c r="AG13" s="96"/>
      <c r="AH13" s="97"/>
      <c r="AI13" s="98">
        <v>1089896998</v>
      </c>
      <c r="AJ13" s="98"/>
      <c r="AK13" s="98"/>
      <c r="AL13" s="98"/>
      <c r="AM13" s="98"/>
      <c r="AN13" s="98">
        <v>1663612033</v>
      </c>
      <c r="AO13" s="98"/>
      <c r="AP13" s="98"/>
      <c r="AQ13" s="98"/>
      <c r="AR13" s="98">
        <v>3091470031</v>
      </c>
      <c r="AS13" s="98">
        <v>8640307967</v>
      </c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  <c r="BH13" s="99"/>
    </row>
    <row r="14" spans="1:60" x14ac:dyDescent="0.3">
      <c r="A14" s="106">
        <v>33</v>
      </c>
      <c r="B14" s="120" t="s">
        <v>28</v>
      </c>
      <c r="C14" s="94">
        <f t="shared" si="1"/>
        <v>243825394714</v>
      </c>
      <c r="D14" s="94">
        <v>30094622135</v>
      </c>
      <c r="E14" s="95">
        <f t="shared" si="0"/>
        <v>213730772579</v>
      </c>
      <c r="F14" s="96"/>
      <c r="G14" s="96"/>
      <c r="H14" s="96"/>
      <c r="I14" s="96"/>
      <c r="J14" s="96"/>
      <c r="K14" s="96"/>
      <c r="L14" s="96">
        <v>4734695326</v>
      </c>
      <c r="M14" s="96"/>
      <c r="N14" s="96"/>
      <c r="O14" s="96"/>
      <c r="P14" s="96">
        <v>5021111705</v>
      </c>
      <c r="Q14" s="96"/>
      <c r="R14" s="96"/>
      <c r="S14" s="96"/>
      <c r="T14" s="96"/>
      <c r="U14" s="96"/>
      <c r="V14" s="96">
        <v>8831061738</v>
      </c>
      <c r="W14" s="96"/>
      <c r="X14" s="96"/>
      <c r="Y14" s="96"/>
      <c r="Z14" s="96"/>
      <c r="AA14" s="96"/>
      <c r="AB14" s="96"/>
      <c r="AC14" s="96">
        <v>11817109474</v>
      </c>
      <c r="AD14" s="96"/>
      <c r="AE14" s="96"/>
      <c r="AF14" s="96"/>
      <c r="AG14" s="96"/>
      <c r="AH14" s="97"/>
      <c r="AI14" s="98">
        <v>16974418486</v>
      </c>
      <c r="AJ14" s="98"/>
      <c r="AK14" s="98"/>
      <c r="AL14" s="98"/>
      <c r="AM14" s="98"/>
      <c r="AN14" s="98">
        <v>25821377899</v>
      </c>
      <c r="AO14" s="98"/>
      <c r="AP14" s="98"/>
      <c r="AQ14" s="98"/>
      <c r="AR14" s="98">
        <v>40927237793</v>
      </c>
      <c r="AS14" s="98">
        <v>40206356913</v>
      </c>
      <c r="AT14" s="98">
        <v>59397403245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H14" s="99"/>
    </row>
    <row r="15" spans="1:60" ht="27.6" x14ac:dyDescent="0.3">
      <c r="A15" s="106"/>
      <c r="B15" s="120" t="s">
        <v>633</v>
      </c>
      <c r="C15" s="94">
        <f t="shared" si="1"/>
        <v>873966948</v>
      </c>
      <c r="D15" s="94"/>
      <c r="E15" s="95">
        <f t="shared" si="0"/>
        <v>873966948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>
        <v>873966948</v>
      </c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7"/>
      <c r="AI15" s="100"/>
      <c r="AJ15" s="100"/>
      <c r="AK15" s="100"/>
      <c r="AL15" s="100"/>
      <c r="AM15" s="100"/>
      <c r="AN15" s="98"/>
      <c r="AO15" s="98"/>
      <c r="AP15" s="98"/>
      <c r="AQ15" s="98"/>
      <c r="AR15" s="98"/>
      <c r="AS15" s="100"/>
      <c r="AT15" s="100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  <c r="BH15" s="99"/>
    </row>
    <row r="16" spans="1:60" ht="30" customHeight="1" x14ac:dyDescent="0.3">
      <c r="A16" s="106">
        <v>34</v>
      </c>
      <c r="B16" s="120" t="s">
        <v>98</v>
      </c>
      <c r="C16" s="94">
        <f t="shared" si="1"/>
        <v>355537597980</v>
      </c>
      <c r="D16" s="94">
        <v>65578461588</v>
      </c>
      <c r="E16" s="95">
        <f t="shared" si="0"/>
        <v>289959136392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>
        <v>5749406690</v>
      </c>
      <c r="W16" s="96"/>
      <c r="X16" s="96"/>
      <c r="Y16" s="96"/>
      <c r="Z16" s="96"/>
      <c r="AA16" s="96"/>
      <c r="AB16" s="96"/>
      <c r="AC16" s="96">
        <v>18107198715</v>
      </c>
      <c r="AD16" s="96"/>
      <c r="AE16" s="96"/>
      <c r="AF16" s="96"/>
      <c r="AG16" s="96"/>
      <c r="AH16" s="97"/>
      <c r="AI16" s="98">
        <v>19120061343</v>
      </c>
      <c r="AJ16" s="98"/>
      <c r="AK16" s="98"/>
      <c r="AL16" s="98"/>
      <c r="AM16" s="98"/>
      <c r="AN16" s="98">
        <v>35540982160</v>
      </c>
      <c r="AO16" s="98"/>
      <c r="AP16" s="98"/>
      <c r="AQ16" s="98"/>
      <c r="AR16" s="98">
        <v>60600900856</v>
      </c>
      <c r="AS16" s="98">
        <v>99245408354</v>
      </c>
      <c r="AT16" s="98">
        <v>51595178274</v>
      </c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9"/>
      <c r="BH16" s="99"/>
    </row>
    <row r="17" spans="1:60" ht="30" customHeight="1" x14ac:dyDescent="0.3">
      <c r="A17" s="106">
        <v>36</v>
      </c>
      <c r="B17" s="120" t="s">
        <v>168</v>
      </c>
      <c r="C17" s="94">
        <f t="shared" si="1"/>
        <v>228630845565</v>
      </c>
      <c r="D17" s="94">
        <v>25958535575</v>
      </c>
      <c r="E17" s="95">
        <f t="shared" si="0"/>
        <v>202672309990</v>
      </c>
      <c r="F17" s="96"/>
      <c r="G17" s="96"/>
      <c r="H17" s="96">
        <v>131955446</v>
      </c>
      <c r="I17" s="96"/>
      <c r="J17" s="96"/>
      <c r="K17" s="96"/>
      <c r="L17" s="96">
        <v>1366664692</v>
      </c>
      <c r="M17" s="96"/>
      <c r="N17" s="96"/>
      <c r="O17" s="96"/>
      <c r="P17" s="96">
        <v>2269504007</v>
      </c>
      <c r="Q17" s="96">
        <v>90171200</v>
      </c>
      <c r="R17" s="96"/>
      <c r="S17" s="96">
        <v>807837282</v>
      </c>
      <c r="T17" s="96"/>
      <c r="U17" s="96"/>
      <c r="V17" s="96">
        <v>9330501223</v>
      </c>
      <c r="W17" s="96"/>
      <c r="X17" s="96"/>
      <c r="Y17" s="96"/>
      <c r="Z17" s="96"/>
      <c r="AA17" s="96">
        <f>1222798600+104518000</f>
        <v>1327316600</v>
      </c>
      <c r="AB17" s="96"/>
      <c r="AC17" s="96">
        <v>11442896152</v>
      </c>
      <c r="AD17" s="96"/>
      <c r="AE17" s="96"/>
      <c r="AF17" s="96"/>
      <c r="AG17" s="96"/>
      <c r="AH17" s="97"/>
      <c r="AI17" s="98">
        <v>12844602472</v>
      </c>
      <c r="AJ17" s="98"/>
      <c r="AK17" s="98"/>
      <c r="AL17" s="98"/>
      <c r="AM17" s="98"/>
      <c r="AN17" s="98">
        <v>23962079894</v>
      </c>
      <c r="AO17" s="98"/>
      <c r="AP17" s="98">
        <v>1774718489</v>
      </c>
      <c r="AQ17" s="98"/>
      <c r="AR17" s="98">
        <v>47402381723</v>
      </c>
      <c r="AS17" s="98">
        <v>64934262955</v>
      </c>
      <c r="AT17" s="98">
        <v>24987417855</v>
      </c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9"/>
      <c r="BH17" s="99"/>
    </row>
    <row r="18" spans="1:60" ht="30" customHeight="1" x14ac:dyDescent="0.3">
      <c r="A18" s="106">
        <v>37</v>
      </c>
      <c r="B18" s="120" t="s">
        <v>169</v>
      </c>
      <c r="C18" s="94">
        <f t="shared" si="1"/>
        <v>552058640979</v>
      </c>
      <c r="D18" s="94">
        <v>127615973242</v>
      </c>
      <c r="E18" s="95">
        <f t="shared" si="0"/>
        <v>424442667737</v>
      </c>
      <c r="F18" s="96"/>
      <c r="G18" s="96"/>
      <c r="H18" s="96"/>
      <c r="I18" s="101">
        <f>368645550</f>
        <v>368645550</v>
      </c>
      <c r="J18" s="101">
        <v>368645550</v>
      </c>
      <c r="K18" s="96"/>
      <c r="L18" s="96">
        <v>5137559198</v>
      </c>
      <c r="M18" s="96"/>
      <c r="N18" s="96"/>
      <c r="O18" s="96"/>
      <c r="P18" s="96">
        <v>2647222491</v>
      </c>
      <c r="Q18" s="96"/>
      <c r="R18" s="96">
        <v>34503220</v>
      </c>
      <c r="S18" s="96"/>
      <c r="T18" s="96"/>
      <c r="U18" s="96"/>
      <c r="V18" s="96">
        <v>11680690368</v>
      </c>
      <c r="W18" s="96"/>
      <c r="X18" s="96"/>
      <c r="Y18" s="96"/>
      <c r="Z18" s="96"/>
      <c r="AA18" s="96"/>
      <c r="AB18" s="96"/>
      <c r="AC18" s="96">
        <v>19233744560</v>
      </c>
      <c r="AD18" s="96"/>
      <c r="AE18" s="96"/>
      <c r="AF18" s="96"/>
      <c r="AG18" s="96"/>
      <c r="AH18" s="97"/>
      <c r="AI18" s="98">
        <v>19856122909</v>
      </c>
      <c r="AJ18" s="98"/>
      <c r="AK18" s="98"/>
      <c r="AL18" s="98"/>
      <c r="AM18" s="98"/>
      <c r="AN18" s="98">
        <v>41023403480</v>
      </c>
      <c r="AO18" s="98"/>
      <c r="AP18" s="98"/>
      <c r="AQ18" s="98"/>
      <c r="AR18" s="98">
        <v>96997353571</v>
      </c>
      <c r="AS18" s="98">
        <v>140946625542</v>
      </c>
      <c r="AT18" s="98">
        <v>86148151298</v>
      </c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9"/>
      <c r="BH18" s="99"/>
    </row>
    <row r="19" spans="1:60" x14ac:dyDescent="0.3">
      <c r="A19" s="106">
        <v>38</v>
      </c>
      <c r="B19" s="120" t="s">
        <v>90</v>
      </c>
      <c r="C19" s="94">
        <f t="shared" si="1"/>
        <v>595122888</v>
      </c>
      <c r="D19" s="94">
        <v>118644138</v>
      </c>
      <c r="E19" s="95">
        <f t="shared" si="0"/>
        <v>476478750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>
        <v>15804968</v>
      </c>
      <c r="W19" s="96"/>
      <c r="X19" s="96"/>
      <c r="Y19" s="96"/>
      <c r="Z19" s="96"/>
      <c r="AA19" s="96"/>
      <c r="AB19" s="96"/>
      <c r="AC19" s="96">
        <v>26260132</v>
      </c>
      <c r="AD19" s="96"/>
      <c r="AE19" s="96"/>
      <c r="AF19" s="96"/>
      <c r="AG19" s="96"/>
      <c r="AH19" s="97"/>
      <c r="AI19" s="98">
        <v>36089617</v>
      </c>
      <c r="AJ19" s="98"/>
      <c r="AK19" s="98"/>
      <c r="AL19" s="98"/>
      <c r="AM19" s="98"/>
      <c r="AN19" s="98">
        <v>40147670</v>
      </c>
      <c r="AO19" s="98"/>
      <c r="AP19" s="98"/>
      <c r="AQ19" s="98"/>
      <c r="AR19" s="98">
        <v>98768482</v>
      </c>
      <c r="AS19" s="98">
        <v>248895119</v>
      </c>
      <c r="AT19" s="98">
        <v>10512762</v>
      </c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9"/>
      <c r="BH19" s="99"/>
    </row>
    <row r="20" spans="1:60" x14ac:dyDescent="0.3">
      <c r="A20" s="106">
        <v>39</v>
      </c>
      <c r="B20" s="120" t="s">
        <v>44</v>
      </c>
      <c r="C20" s="94">
        <f t="shared" si="1"/>
        <v>17834273163</v>
      </c>
      <c r="D20" s="94">
        <v>371492497</v>
      </c>
      <c r="E20" s="95">
        <f t="shared" si="0"/>
        <v>17462780666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>
        <v>99031687</v>
      </c>
      <c r="Q20" s="96"/>
      <c r="R20" s="96"/>
      <c r="S20" s="96"/>
      <c r="T20" s="96"/>
      <c r="U20" s="96"/>
      <c r="V20" s="96">
        <v>417922081</v>
      </c>
      <c r="W20" s="96"/>
      <c r="X20" s="96"/>
      <c r="Y20" s="96"/>
      <c r="Z20" s="96"/>
      <c r="AA20" s="96"/>
      <c r="AB20" s="96"/>
      <c r="AC20" s="96">
        <v>307287564</v>
      </c>
      <c r="AD20" s="96"/>
      <c r="AE20" s="96"/>
      <c r="AF20" s="96"/>
      <c r="AG20" s="96"/>
      <c r="AH20" s="97"/>
      <c r="AI20" s="98">
        <v>251659827</v>
      </c>
      <c r="AJ20" s="98"/>
      <c r="AK20" s="98"/>
      <c r="AL20" s="98"/>
      <c r="AM20" s="98"/>
      <c r="AN20" s="98">
        <v>1972344566</v>
      </c>
      <c r="AO20" s="98"/>
      <c r="AP20" s="98"/>
      <c r="AQ20" s="98"/>
      <c r="AR20" s="98">
        <v>521523459</v>
      </c>
      <c r="AS20" s="98">
        <v>5093011482</v>
      </c>
      <c r="AT20" s="98">
        <v>8800000000</v>
      </c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9"/>
      <c r="BH20" s="99"/>
    </row>
    <row r="21" spans="1:60" ht="27.6" x14ac:dyDescent="0.3">
      <c r="A21" s="106">
        <v>41</v>
      </c>
      <c r="B21" s="120" t="s">
        <v>165</v>
      </c>
      <c r="C21" s="94">
        <f t="shared" si="1"/>
        <v>438204218469</v>
      </c>
      <c r="D21" s="94">
        <v>82248985793</v>
      </c>
      <c r="E21" s="95">
        <f t="shared" si="0"/>
        <v>355955232676</v>
      </c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6648613207</v>
      </c>
      <c r="W21" s="96"/>
      <c r="X21" s="96"/>
      <c r="Y21" s="96"/>
      <c r="Z21" s="96"/>
      <c r="AA21" s="96"/>
      <c r="AB21" s="96"/>
      <c r="AC21" s="96">
        <v>11016537769</v>
      </c>
      <c r="AD21" s="96"/>
      <c r="AE21" s="96"/>
      <c r="AF21" s="96"/>
      <c r="AG21" s="96"/>
      <c r="AH21" s="97"/>
      <c r="AI21" s="98">
        <v>25337027095</v>
      </c>
      <c r="AJ21" s="98"/>
      <c r="AK21" s="98"/>
      <c r="AL21" s="98"/>
      <c r="AM21" s="98"/>
      <c r="AN21" s="98">
        <v>33069989255</v>
      </c>
      <c r="AO21" s="98"/>
      <c r="AP21" s="98"/>
      <c r="AQ21" s="98"/>
      <c r="AR21" s="98">
        <v>83079259154</v>
      </c>
      <c r="AS21" s="98">
        <v>116803806196</v>
      </c>
      <c r="AT21" s="98">
        <v>80000000000</v>
      </c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9"/>
      <c r="BH21" s="99"/>
    </row>
    <row r="22" spans="1:60" x14ac:dyDescent="0.3">
      <c r="A22" s="106">
        <v>44</v>
      </c>
      <c r="B22" s="120" t="s">
        <v>164</v>
      </c>
      <c r="C22" s="94">
        <f t="shared" si="1"/>
        <v>33248080901</v>
      </c>
      <c r="D22" s="94">
        <v>5361787898</v>
      </c>
      <c r="E22" s="95">
        <f t="shared" si="0"/>
        <v>27886293003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>
        <v>77105098</v>
      </c>
      <c r="Q22" s="96"/>
      <c r="R22" s="96"/>
      <c r="S22" s="96"/>
      <c r="T22" s="96"/>
      <c r="U22" s="96"/>
      <c r="V22" s="96">
        <v>67847256</v>
      </c>
      <c r="W22" s="96"/>
      <c r="X22" s="96"/>
      <c r="Y22" s="96"/>
      <c r="Z22" s="96"/>
      <c r="AA22" s="96"/>
      <c r="AB22" s="96"/>
      <c r="AC22" s="96">
        <v>3380237366</v>
      </c>
      <c r="AD22" s="96">
        <v>6268701982</v>
      </c>
      <c r="AE22" s="96"/>
      <c r="AF22" s="96"/>
      <c r="AG22" s="96"/>
      <c r="AH22" s="97"/>
      <c r="AI22" s="98">
        <v>3152218077</v>
      </c>
      <c r="AJ22" s="98"/>
      <c r="AK22" s="98"/>
      <c r="AL22" s="98"/>
      <c r="AM22" s="98"/>
      <c r="AN22" s="98">
        <v>4263238964</v>
      </c>
      <c r="AO22" s="98"/>
      <c r="AP22" s="98"/>
      <c r="AQ22" s="98"/>
      <c r="AR22" s="98">
        <v>4126024601</v>
      </c>
      <c r="AS22" s="98">
        <v>5221787306</v>
      </c>
      <c r="AT22" s="98">
        <v>1329132353</v>
      </c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9"/>
      <c r="BH22" s="99"/>
    </row>
    <row r="23" spans="1:60" ht="27.6" x14ac:dyDescent="0.3">
      <c r="A23" s="106">
        <v>45</v>
      </c>
      <c r="B23" s="120" t="s">
        <v>580</v>
      </c>
      <c r="C23" s="94">
        <f t="shared" si="1"/>
        <v>143398117463</v>
      </c>
      <c r="D23" s="94">
        <v>21059234213</v>
      </c>
      <c r="E23" s="95">
        <f t="shared" si="0"/>
        <v>122338883250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>
        <v>2152019366</v>
      </c>
      <c r="W23" s="96"/>
      <c r="X23" s="96"/>
      <c r="Y23" s="96"/>
      <c r="Z23" s="96"/>
      <c r="AA23" s="96"/>
      <c r="AB23" s="96"/>
      <c r="AC23" s="96">
        <v>16367913196</v>
      </c>
      <c r="AD23" s="96"/>
      <c r="AE23" s="96"/>
      <c r="AF23" s="96"/>
      <c r="AG23" s="96"/>
      <c r="AH23" s="97"/>
      <c r="AI23" s="98">
        <v>4257733115</v>
      </c>
      <c r="AJ23" s="98"/>
      <c r="AK23" s="98"/>
      <c r="AL23" s="98"/>
      <c r="AM23" s="98"/>
      <c r="AN23" s="98">
        <v>32066507869</v>
      </c>
      <c r="AO23" s="98"/>
      <c r="AP23" s="98"/>
      <c r="AQ23" s="98"/>
      <c r="AR23" s="98">
        <v>18691764620</v>
      </c>
      <c r="AS23" s="98">
        <v>29637205974</v>
      </c>
      <c r="AT23" s="98">
        <v>19165739110</v>
      </c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9"/>
      <c r="BH23" s="99"/>
    </row>
    <row r="24" spans="1:60" x14ac:dyDescent="0.3">
      <c r="A24" s="106">
        <v>46</v>
      </c>
      <c r="B24" s="120" t="s">
        <v>101</v>
      </c>
      <c r="C24" s="94">
        <f t="shared" si="1"/>
        <v>123825442536</v>
      </c>
      <c r="D24" s="94">
        <v>23780635483</v>
      </c>
      <c r="E24" s="95">
        <f t="shared" si="0"/>
        <v>100044807053</v>
      </c>
      <c r="F24" s="96"/>
      <c r="G24" s="96"/>
      <c r="H24" s="96"/>
      <c r="I24" s="96"/>
      <c r="J24" s="96">
        <v>-368645550</v>
      </c>
      <c r="K24" s="96"/>
      <c r="L24" s="96"/>
      <c r="M24" s="96"/>
      <c r="N24" s="96"/>
      <c r="O24" s="96"/>
      <c r="P24" s="96">
        <v>2658237406</v>
      </c>
      <c r="Q24" s="96"/>
      <c r="R24" s="96"/>
      <c r="S24" s="96"/>
      <c r="T24" s="96"/>
      <c r="U24" s="96"/>
      <c r="V24" s="96">
        <v>5198747614</v>
      </c>
      <c r="W24" s="96"/>
      <c r="X24" s="96"/>
      <c r="Y24" s="96"/>
      <c r="Z24" s="96"/>
      <c r="AA24" s="96"/>
      <c r="AB24" s="96"/>
      <c r="AC24" s="96">
        <v>4697404879</v>
      </c>
      <c r="AD24" s="96"/>
      <c r="AE24" s="96"/>
      <c r="AF24" s="96"/>
      <c r="AG24" s="96"/>
      <c r="AH24" s="97"/>
      <c r="AI24" s="98">
        <v>4682092783</v>
      </c>
      <c r="AJ24" s="98"/>
      <c r="AK24" s="98"/>
      <c r="AL24" s="98"/>
      <c r="AM24" s="98"/>
      <c r="AN24" s="98">
        <v>20104074730</v>
      </c>
      <c r="AO24" s="98"/>
      <c r="AP24" s="98"/>
      <c r="AQ24" s="98"/>
      <c r="AR24" s="98">
        <v>36361764158</v>
      </c>
      <c r="AS24" s="98">
        <v>23985389611</v>
      </c>
      <c r="AT24" s="98">
        <v>2725741422</v>
      </c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9"/>
      <c r="BH24" s="99"/>
    </row>
    <row r="25" spans="1:60" ht="27.6" x14ac:dyDescent="0.3">
      <c r="A25" s="106">
        <v>52</v>
      </c>
      <c r="B25" s="120" t="s">
        <v>102</v>
      </c>
      <c r="C25" s="94">
        <f t="shared" si="1"/>
        <v>23208842658</v>
      </c>
      <c r="D25" s="94">
        <v>4050527094</v>
      </c>
      <c r="E25" s="95">
        <f t="shared" si="0"/>
        <v>19158315564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>
        <v>296983848</v>
      </c>
      <c r="AD25" s="96"/>
      <c r="AE25" s="96"/>
      <c r="AF25" s="96"/>
      <c r="AG25" s="96"/>
      <c r="AH25" s="97"/>
      <c r="AI25" s="98">
        <v>377962774</v>
      </c>
      <c r="AJ25" s="98"/>
      <c r="AK25" s="98"/>
      <c r="AL25" s="98"/>
      <c r="AM25" s="98"/>
      <c r="AN25" s="98">
        <v>510614667</v>
      </c>
      <c r="AO25" s="98"/>
      <c r="AP25" s="98"/>
      <c r="AQ25" s="98"/>
      <c r="AR25" s="98">
        <v>14541624404</v>
      </c>
      <c r="AS25" s="98">
        <v>3431129871</v>
      </c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9"/>
      <c r="BH25" s="99"/>
    </row>
    <row r="26" spans="1:60" x14ac:dyDescent="0.3">
      <c r="A26" s="106">
        <v>54</v>
      </c>
      <c r="B26" s="120" t="s">
        <v>29</v>
      </c>
      <c r="C26" s="94">
        <f>D26+E26</f>
        <v>5901921710296</v>
      </c>
      <c r="D26" s="94">
        <v>563137185906</v>
      </c>
      <c r="E26" s="95">
        <f t="shared" si="0"/>
        <v>5338784524390</v>
      </c>
      <c r="F26" s="96"/>
      <c r="G26" s="96"/>
      <c r="H26" s="96"/>
      <c r="I26" s="96"/>
      <c r="J26" s="96"/>
      <c r="K26" s="96"/>
      <c r="L26" s="96">
        <v>123413339151</v>
      </c>
      <c r="M26" s="96"/>
      <c r="N26" s="96"/>
      <c r="O26" s="96"/>
      <c r="P26" s="96">
        <v>267958741580</v>
      </c>
      <c r="Q26" s="96"/>
      <c r="R26" s="96"/>
      <c r="S26" s="96">
        <v>1977553955</v>
      </c>
      <c r="T26" s="96"/>
      <c r="U26" s="96"/>
      <c r="V26" s="96">
        <v>234093289571</v>
      </c>
      <c r="W26" s="96"/>
      <c r="X26" s="96"/>
      <c r="Y26" s="96"/>
      <c r="Z26" s="96"/>
      <c r="AA26" s="96"/>
      <c r="AB26" s="96"/>
      <c r="AC26" s="96">
        <v>308844213918</v>
      </c>
      <c r="AD26" s="96"/>
      <c r="AE26" s="96"/>
      <c r="AF26" s="96">
        <v>1257146560</v>
      </c>
      <c r="AG26" s="96"/>
      <c r="AH26" s="97"/>
      <c r="AI26" s="98">
        <v>296324640734</v>
      </c>
      <c r="AJ26" s="98"/>
      <c r="AK26" s="98"/>
      <c r="AL26" s="98"/>
      <c r="AM26" s="98"/>
      <c r="AN26" s="98">
        <v>734464192134</v>
      </c>
      <c r="AO26" s="98"/>
      <c r="AP26" s="98"/>
      <c r="AQ26" s="98"/>
      <c r="AR26" s="98">
        <v>891319971045</v>
      </c>
      <c r="AS26" s="98">
        <v>777924386371</v>
      </c>
      <c r="AT26" s="98">
        <v>1701207049371</v>
      </c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9"/>
      <c r="BH26" s="99"/>
    </row>
    <row r="27" spans="1:60" ht="30" customHeight="1" x14ac:dyDescent="0.3">
      <c r="A27" s="106">
        <v>57</v>
      </c>
      <c r="B27" s="120" t="s">
        <v>166</v>
      </c>
      <c r="C27" s="94">
        <f t="shared" si="1"/>
        <v>168870619665</v>
      </c>
      <c r="D27" s="94">
        <v>23079780168</v>
      </c>
      <c r="E27" s="95">
        <f t="shared" si="0"/>
        <v>145790839497</v>
      </c>
      <c r="F27" s="96"/>
      <c r="G27" s="96">
        <f>4000000000+2531250000</f>
        <v>6531250000</v>
      </c>
      <c r="H27" s="96"/>
      <c r="I27" s="96"/>
      <c r="J27" s="96"/>
      <c r="K27" s="96">
        <v>7413520488</v>
      </c>
      <c r="L27" s="96"/>
      <c r="M27" s="96"/>
      <c r="N27" s="96"/>
      <c r="O27" s="96"/>
      <c r="P27" s="96">
        <v>6386515430</v>
      </c>
      <c r="Q27" s="96">
        <f>3796875000+3400000000</f>
        <v>7196875000</v>
      </c>
      <c r="R27" s="96"/>
      <c r="S27" s="96"/>
      <c r="T27" s="96"/>
      <c r="U27" s="96"/>
      <c r="V27" s="96">
        <v>5292087224</v>
      </c>
      <c r="W27" s="96"/>
      <c r="X27" s="96"/>
      <c r="Y27" s="96"/>
      <c r="Z27" s="96"/>
      <c r="AA27" s="96"/>
      <c r="AB27" s="96"/>
      <c r="AC27" s="96">
        <v>12111942747</v>
      </c>
      <c r="AD27" s="96"/>
      <c r="AE27" s="96"/>
      <c r="AF27" s="96"/>
      <c r="AG27" s="96"/>
      <c r="AH27" s="97"/>
      <c r="AI27" s="98">
        <v>13606986493</v>
      </c>
      <c r="AJ27" s="98"/>
      <c r="AK27" s="98"/>
      <c r="AL27" s="98"/>
      <c r="AM27" s="98"/>
      <c r="AN27" s="98">
        <v>17222684609</v>
      </c>
      <c r="AO27" s="98"/>
      <c r="AP27" s="98"/>
      <c r="AQ27" s="98"/>
      <c r="AR27" s="98">
        <v>23050147157</v>
      </c>
      <c r="AS27" s="98">
        <v>40102910112</v>
      </c>
      <c r="AT27" s="98">
        <v>6875920237</v>
      </c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99"/>
    </row>
    <row r="28" spans="1:60" ht="30" customHeight="1" x14ac:dyDescent="0.3">
      <c r="A28" s="106">
        <v>58</v>
      </c>
      <c r="B28" s="120" t="s">
        <v>171</v>
      </c>
      <c r="C28" s="94">
        <f t="shared" si="1"/>
        <v>54396972706</v>
      </c>
      <c r="D28" s="94">
        <v>28910868595</v>
      </c>
      <c r="E28" s="95">
        <f t="shared" si="0"/>
        <v>25486104111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>
        <v>4119570634</v>
      </c>
      <c r="W28" s="96"/>
      <c r="X28" s="96"/>
      <c r="Y28" s="96"/>
      <c r="Z28" s="96"/>
      <c r="AA28" s="96"/>
      <c r="AB28" s="96"/>
      <c r="AC28" s="96">
        <v>2825961791</v>
      </c>
      <c r="AD28" s="96"/>
      <c r="AE28" s="96"/>
      <c r="AF28" s="96"/>
      <c r="AG28" s="96"/>
      <c r="AH28" s="97"/>
      <c r="AI28" s="98">
        <v>1746092558</v>
      </c>
      <c r="AJ28" s="98"/>
      <c r="AK28" s="98"/>
      <c r="AL28" s="98"/>
      <c r="AM28" s="98"/>
      <c r="AN28" s="98">
        <v>5316670854</v>
      </c>
      <c r="AO28" s="98"/>
      <c r="AP28" s="98"/>
      <c r="AQ28" s="98"/>
      <c r="AR28" s="98">
        <v>7023883867</v>
      </c>
      <c r="AS28" s="98"/>
      <c r="AT28" s="98">
        <v>4453924407</v>
      </c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9"/>
      <c r="BH28" s="99"/>
    </row>
    <row r="29" spans="1:60" ht="27.6" x14ac:dyDescent="0.3">
      <c r="A29" s="106">
        <v>59</v>
      </c>
      <c r="B29" s="120" t="s">
        <v>643</v>
      </c>
      <c r="C29" s="94">
        <f t="shared" si="1"/>
        <v>538436151495</v>
      </c>
      <c r="D29" s="94">
        <v>42225671851</v>
      </c>
      <c r="E29" s="95">
        <f t="shared" si="0"/>
        <v>496210479644</v>
      </c>
      <c r="F29" s="96"/>
      <c r="G29" s="96"/>
      <c r="H29" s="96"/>
      <c r="I29" s="96"/>
      <c r="J29" s="96"/>
      <c r="K29" s="96"/>
      <c r="L29" s="96">
        <v>35948512361</v>
      </c>
      <c r="M29" s="96"/>
      <c r="N29" s="96"/>
      <c r="O29" s="96"/>
      <c r="P29" s="96">
        <v>21718593767</v>
      </c>
      <c r="Q29" s="96"/>
      <c r="R29" s="96"/>
      <c r="S29" s="96"/>
      <c r="T29" s="96"/>
      <c r="U29" s="96"/>
      <c r="V29" s="96">
        <v>36098663578</v>
      </c>
      <c r="W29" s="96"/>
      <c r="X29" s="96"/>
      <c r="Y29" s="96"/>
      <c r="Z29" s="96"/>
      <c r="AA29" s="96"/>
      <c r="AB29" s="96"/>
      <c r="AC29" s="96">
        <v>47615640421</v>
      </c>
      <c r="AD29" s="96"/>
      <c r="AE29" s="96"/>
      <c r="AF29" s="96"/>
      <c r="AG29" s="96"/>
      <c r="AH29" s="97"/>
      <c r="AI29" s="98">
        <v>39249899578</v>
      </c>
      <c r="AJ29" s="98"/>
      <c r="AK29" s="98"/>
      <c r="AL29" s="98"/>
      <c r="AM29" s="98"/>
      <c r="AN29" s="98">
        <v>56162646587</v>
      </c>
      <c r="AO29" s="98"/>
      <c r="AP29" s="98"/>
      <c r="AQ29" s="98"/>
      <c r="AR29" s="98">
        <v>137705047078</v>
      </c>
      <c r="AS29" s="98">
        <v>65256867524</v>
      </c>
      <c r="AT29" s="98">
        <v>56454608750</v>
      </c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9"/>
      <c r="BH29" s="99"/>
    </row>
    <row r="30" spans="1:60" x14ac:dyDescent="0.3">
      <c r="A30" s="106">
        <v>63</v>
      </c>
      <c r="B30" s="120" t="s">
        <v>7</v>
      </c>
      <c r="C30" s="94">
        <f t="shared" si="1"/>
        <v>804743144915</v>
      </c>
      <c r="D30" s="94">
        <v>559013845381</v>
      </c>
      <c r="E30" s="95">
        <f t="shared" si="0"/>
        <v>245729299534</v>
      </c>
      <c r="F30" s="96">
        <v>3211258012</v>
      </c>
      <c r="G30" s="96">
        <v>1840149236</v>
      </c>
      <c r="H30" s="102">
        <f>13182835201+8799397307</f>
        <v>21982232508</v>
      </c>
      <c r="I30" s="96"/>
      <c r="J30" s="96"/>
      <c r="K30" s="96">
        <f>25508472363+14612759000+1000177589</f>
        <v>41121408952</v>
      </c>
      <c r="L30" s="96"/>
      <c r="M30" s="96">
        <f>4315346877+13003930000</f>
        <v>17319276877</v>
      </c>
      <c r="N30" s="96">
        <v>4315346877</v>
      </c>
      <c r="O30" s="96"/>
      <c r="P30" s="96">
        <v>176313175</v>
      </c>
      <c r="Q30" s="96">
        <f>10750170060+8547933660+4285000000+1426259350+1200000000</f>
        <v>26209363070</v>
      </c>
      <c r="R30" s="96"/>
      <c r="S30" s="96"/>
      <c r="T30" s="96"/>
      <c r="U30" s="96"/>
      <c r="V30" s="96">
        <v>448759287</v>
      </c>
      <c r="W30" s="96"/>
      <c r="X30" s="96"/>
      <c r="Y30" s="96"/>
      <c r="Z30" s="96"/>
      <c r="AA30" s="96">
        <v>10812533759</v>
      </c>
      <c r="AB30" s="96"/>
      <c r="AC30" s="96">
        <v>390871492</v>
      </c>
      <c r="AD30" s="96"/>
      <c r="AE30" s="96"/>
      <c r="AF30" s="96"/>
      <c r="AG30" s="96">
        <v>2282014960</v>
      </c>
      <c r="AH30" s="97"/>
      <c r="AI30" s="98">
        <v>387402058</v>
      </c>
      <c r="AJ30" s="98">
        <v>109000000000</v>
      </c>
      <c r="AK30" s="98"/>
      <c r="AL30" s="98"/>
      <c r="AM30" s="98"/>
      <c r="AN30" s="98">
        <v>603691454</v>
      </c>
      <c r="AO30" s="98"/>
      <c r="AP30" s="98">
        <v>1996763090</v>
      </c>
      <c r="AQ30" s="98"/>
      <c r="AR30" s="98">
        <v>1243648665</v>
      </c>
      <c r="AS30" s="98">
        <v>1482993238</v>
      </c>
      <c r="AT30" s="98">
        <v>905272824</v>
      </c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9"/>
      <c r="BH30" s="99"/>
    </row>
    <row r="31" spans="1:60" ht="27.6" x14ac:dyDescent="0.3">
      <c r="A31" s="106">
        <v>65</v>
      </c>
      <c r="B31" s="120" t="s">
        <v>31</v>
      </c>
      <c r="C31" s="94">
        <f t="shared" si="1"/>
        <v>733933958943</v>
      </c>
      <c r="D31" s="94">
        <v>79088634046</v>
      </c>
      <c r="E31" s="95">
        <f t="shared" si="0"/>
        <v>654845324897</v>
      </c>
      <c r="F31" s="96"/>
      <c r="G31" s="96"/>
      <c r="H31" s="96"/>
      <c r="I31" s="96"/>
      <c r="J31" s="96"/>
      <c r="K31" s="96"/>
      <c r="L31" s="96">
        <v>4756363370</v>
      </c>
      <c r="M31" s="96"/>
      <c r="N31" s="96"/>
      <c r="O31" s="96"/>
      <c r="P31" s="96">
        <v>15046987250</v>
      </c>
      <c r="Q31" s="96"/>
      <c r="R31" s="96"/>
      <c r="S31" s="96"/>
      <c r="T31" s="96"/>
      <c r="U31" s="96"/>
      <c r="V31" s="96">
        <v>27859308939</v>
      </c>
      <c r="W31" s="96"/>
      <c r="X31" s="96"/>
      <c r="Y31" s="96"/>
      <c r="Z31" s="96"/>
      <c r="AA31" s="96"/>
      <c r="AB31" s="96"/>
      <c r="AC31" s="96">
        <v>41477616459</v>
      </c>
      <c r="AD31" s="96"/>
      <c r="AE31" s="96"/>
      <c r="AF31" s="96"/>
      <c r="AG31" s="96"/>
      <c r="AH31" s="97"/>
      <c r="AI31" s="98">
        <v>45829291593</v>
      </c>
      <c r="AJ31" s="98"/>
      <c r="AK31" s="98"/>
      <c r="AL31" s="98"/>
      <c r="AM31" s="98"/>
      <c r="AN31" s="98">
        <v>62256387284</v>
      </c>
      <c r="AO31" s="98"/>
      <c r="AP31" s="98"/>
      <c r="AQ31" s="98"/>
      <c r="AR31" s="98">
        <v>126300789931</v>
      </c>
      <c r="AS31" s="98">
        <f>158886235685</f>
        <v>158886235685</v>
      </c>
      <c r="AT31" s="98">
        <v>172432344386</v>
      </c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9"/>
      <c r="BH31" s="99"/>
    </row>
    <row r="32" spans="1:60" x14ac:dyDescent="0.3">
      <c r="A32" s="106">
        <v>69</v>
      </c>
      <c r="B32" s="120" t="s">
        <v>48</v>
      </c>
      <c r="C32" s="94">
        <f t="shared" si="1"/>
        <v>142934606751</v>
      </c>
      <c r="D32" s="94">
        <v>14587952278</v>
      </c>
      <c r="E32" s="95">
        <f t="shared" si="0"/>
        <v>128346654473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>
        <v>2245089516</v>
      </c>
      <c r="Q32" s="96"/>
      <c r="R32" s="96"/>
      <c r="S32" s="96"/>
      <c r="T32" s="96"/>
      <c r="U32" s="96"/>
      <c r="V32" s="96">
        <v>5621945612</v>
      </c>
      <c r="W32" s="96"/>
      <c r="X32" s="96"/>
      <c r="Y32" s="96"/>
      <c r="Z32" s="96"/>
      <c r="AA32" s="96"/>
      <c r="AB32" s="96"/>
      <c r="AC32" s="96">
        <v>12340776398</v>
      </c>
      <c r="AD32" s="96"/>
      <c r="AE32" s="96"/>
      <c r="AF32" s="96"/>
      <c r="AG32" s="96"/>
      <c r="AH32" s="97"/>
      <c r="AI32" s="98">
        <v>13780992272</v>
      </c>
      <c r="AJ32" s="98"/>
      <c r="AK32" s="98"/>
      <c r="AL32" s="98"/>
      <c r="AM32" s="98"/>
      <c r="AN32" s="98">
        <v>10395525592</v>
      </c>
      <c r="AO32" s="98"/>
      <c r="AP32" s="98"/>
      <c r="AQ32" s="98"/>
      <c r="AR32" s="98">
        <v>28144542194</v>
      </c>
      <c r="AS32" s="98">
        <v>36221087266</v>
      </c>
      <c r="AT32" s="98">
        <v>19596695623</v>
      </c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9"/>
      <c r="BH32" s="99"/>
    </row>
    <row r="33" spans="1:60" ht="27.6" x14ac:dyDescent="0.3">
      <c r="A33" s="106">
        <v>70</v>
      </c>
      <c r="B33" s="120" t="s">
        <v>636</v>
      </c>
      <c r="C33" s="94">
        <f t="shared" si="1"/>
        <v>502179612432</v>
      </c>
      <c r="D33" s="94">
        <v>450665816721</v>
      </c>
      <c r="E33" s="95">
        <f t="shared" si="0"/>
        <v>51513795711</v>
      </c>
      <c r="F33" s="96"/>
      <c r="G33" s="96"/>
      <c r="H33" s="96"/>
      <c r="I33" s="96"/>
      <c r="J33" s="96"/>
      <c r="K33" s="96"/>
      <c r="L33" s="96">
        <v>13337787216</v>
      </c>
      <c r="M33" s="96"/>
      <c r="N33" s="96"/>
      <c r="O33" s="96"/>
      <c r="P33" s="96">
        <v>38176008495</v>
      </c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7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9"/>
      <c r="BH33" s="99"/>
    </row>
    <row r="34" spans="1:60" ht="27.6" x14ac:dyDescent="0.3">
      <c r="A34" s="106">
        <v>71</v>
      </c>
      <c r="B34" s="120" t="s">
        <v>50</v>
      </c>
      <c r="C34" s="94">
        <f t="shared" si="1"/>
        <v>66322320178</v>
      </c>
      <c r="D34" s="94">
        <v>15017941650</v>
      </c>
      <c r="E34" s="95">
        <f t="shared" ref="E34:E61" si="2">+SUM(F34:DC34)</f>
        <v>51304378528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>
        <v>1983060961</v>
      </c>
      <c r="Q34" s="96"/>
      <c r="R34" s="96"/>
      <c r="S34" s="96"/>
      <c r="T34" s="96"/>
      <c r="U34" s="96"/>
      <c r="V34" s="96">
        <v>3109919311</v>
      </c>
      <c r="W34" s="96"/>
      <c r="X34" s="96"/>
      <c r="Y34" s="96"/>
      <c r="Z34" s="96"/>
      <c r="AA34" s="96"/>
      <c r="AB34" s="96"/>
      <c r="AC34" s="96">
        <v>6690321155</v>
      </c>
      <c r="AD34" s="96"/>
      <c r="AE34" s="96"/>
      <c r="AF34" s="96"/>
      <c r="AG34" s="96"/>
      <c r="AH34" s="97"/>
      <c r="AI34" s="98">
        <v>3881423275</v>
      </c>
      <c r="AJ34" s="98"/>
      <c r="AK34" s="98"/>
      <c r="AL34" s="98"/>
      <c r="AM34" s="98"/>
      <c r="AN34" s="98">
        <v>5464212129</v>
      </c>
      <c r="AO34" s="98"/>
      <c r="AP34" s="98"/>
      <c r="AQ34" s="98"/>
      <c r="AR34" s="98">
        <v>8048111949</v>
      </c>
      <c r="AS34" s="98">
        <v>13790604366</v>
      </c>
      <c r="AT34" s="98">
        <v>8336725382</v>
      </c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9"/>
      <c r="BH34" s="99"/>
    </row>
    <row r="35" spans="1:60" ht="30" customHeight="1" x14ac:dyDescent="0.3">
      <c r="A35" s="106">
        <v>72</v>
      </c>
      <c r="B35" s="120" t="s">
        <v>33</v>
      </c>
      <c r="C35" s="94">
        <f t="shared" si="1"/>
        <v>8091917201880</v>
      </c>
      <c r="D35" s="94">
        <v>614841304424</v>
      </c>
      <c r="E35" s="95">
        <f t="shared" si="2"/>
        <v>7477075897456</v>
      </c>
      <c r="F35" s="96"/>
      <c r="G35" s="96"/>
      <c r="H35" s="96"/>
      <c r="I35" s="96"/>
      <c r="J35" s="96"/>
      <c r="K35" s="96"/>
      <c r="L35" s="101">
        <v>56843352763</v>
      </c>
      <c r="M35" s="96"/>
      <c r="N35" s="96"/>
      <c r="O35" s="96"/>
      <c r="P35" s="101">
        <v>146677190155</v>
      </c>
      <c r="Q35" s="96"/>
      <c r="R35" s="96"/>
      <c r="S35" s="96">
        <f>-1977553955-807837282</f>
        <v>-2785391237</v>
      </c>
      <c r="T35" s="96"/>
      <c r="U35" s="96"/>
      <c r="V35" s="96">
        <v>212717998574</v>
      </c>
      <c r="W35" s="96"/>
      <c r="X35" s="96"/>
      <c r="Y35" s="96"/>
      <c r="Z35" s="96"/>
      <c r="AA35" s="96"/>
      <c r="AB35" s="96"/>
      <c r="AC35" s="96">
        <v>587318577110</v>
      </c>
      <c r="AD35" s="96"/>
      <c r="AE35" s="96"/>
      <c r="AF35" s="96"/>
      <c r="AG35" s="96"/>
      <c r="AH35" s="97"/>
      <c r="AI35" s="98">
        <v>561751495115</v>
      </c>
      <c r="AJ35" s="98"/>
      <c r="AK35" s="98"/>
      <c r="AL35" s="98"/>
      <c r="AM35" s="98"/>
      <c r="AN35" s="98">
        <v>844728264969</v>
      </c>
      <c r="AO35" s="98"/>
      <c r="AP35" s="98"/>
      <c r="AQ35" s="98"/>
      <c r="AR35" s="98">
        <v>807610643643</v>
      </c>
      <c r="AS35" s="98">
        <v>2640002223653</v>
      </c>
      <c r="AT35" s="98">
        <v>1622211542711</v>
      </c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99"/>
    </row>
    <row r="36" spans="1:60" ht="27.6" x14ac:dyDescent="0.3">
      <c r="A36" s="106"/>
      <c r="B36" s="120" t="s">
        <v>637</v>
      </c>
      <c r="C36" s="94">
        <f t="shared" si="1"/>
        <v>8934625012</v>
      </c>
      <c r="D36" s="94"/>
      <c r="E36" s="95">
        <f t="shared" si="2"/>
        <v>8934625012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>
        <v>8934625012</v>
      </c>
      <c r="AD36" s="96"/>
      <c r="AE36" s="96"/>
      <c r="AF36" s="96"/>
      <c r="AG36" s="96"/>
      <c r="AH36" s="97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9"/>
      <c r="BH36" s="99"/>
    </row>
    <row r="37" spans="1:60" ht="27.6" x14ac:dyDescent="0.3">
      <c r="A37" s="106">
        <v>74</v>
      </c>
      <c r="B37" s="120" t="s">
        <v>108</v>
      </c>
      <c r="C37" s="94">
        <f t="shared" si="1"/>
        <v>125868612854</v>
      </c>
      <c r="D37" s="94">
        <v>12739418625</v>
      </c>
      <c r="E37" s="95">
        <f t="shared" si="2"/>
        <v>113129194229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>
        <v>2537610650</v>
      </c>
      <c r="Q37" s="96"/>
      <c r="R37" s="96"/>
      <c r="S37" s="96"/>
      <c r="T37" s="96"/>
      <c r="U37" s="96"/>
      <c r="V37" s="96">
        <v>2600861511</v>
      </c>
      <c r="W37" s="96"/>
      <c r="X37" s="96"/>
      <c r="Y37" s="96"/>
      <c r="Z37" s="96"/>
      <c r="AA37" s="96"/>
      <c r="AB37" s="96"/>
      <c r="AC37" s="96">
        <v>8934625012</v>
      </c>
      <c r="AD37" s="96"/>
      <c r="AE37" s="96"/>
      <c r="AF37" s="96"/>
      <c r="AG37" s="96"/>
      <c r="AH37" s="97"/>
      <c r="AI37" s="98">
        <v>8070475879</v>
      </c>
      <c r="AJ37" s="98"/>
      <c r="AK37" s="98"/>
      <c r="AL37" s="98"/>
      <c r="AM37" s="98"/>
      <c r="AN37" s="98">
        <v>16829856653</v>
      </c>
      <c r="AO37" s="98"/>
      <c r="AP37" s="98"/>
      <c r="AQ37" s="98"/>
      <c r="AR37" s="98">
        <v>15259541831</v>
      </c>
      <c r="AS37" s="98">
        <v>24132281214</v>
      </c>
      <c r="AT37" s="98">
        <v>34763941479</v>
      </c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9"/>
      <c r="BH37" s="99"/>
    </row>
    <row r="38" spans="1:60" ht="27.6" x14ac:dyDescent="0.3">
      <c r="A38" s="106">
        <v>75</v>
      </c>
      <c r="B38" s="120" t="s">
        <v>109</v>
      </c>
      <c r="C38" s="94">
        <f t="shared" si="1"/>
        <v>536341632849</v>
      </c>
      <c r="D38" s="94">
        <v>125358976623</v>
      </c>
      <c r="E38" s="95">
        <f t="shared" si="2"/>
        <v>410982656226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>
        <v>4545625717</v>
      </c>
      <c r="W38" s="96"/>
      <c r="X38" s="96"/>
      <c r="Y38" s="96"/>
      <c r="Z38" s="96"/>
      <c r="AA38" s="96"/>
      <c r="AB38" s="96"/>
      <c r="AC38" s="96">
        <v>30359765485</v>
      </c>
      <c r="AD38" s="96"/>
      <c r="AE38" s="96"/>
      <c r="AF38" s="96"/>
      <c r="AG38" s="96"/>
      <c r="AH38" s="97"/>
      <c r="AI38" s="98">
        <v>69108070699</v>
      </c>
      <c r="AJ38" s="98"/>
      <c r="AK38" s="98"/>
      <c r="AL38" s="98"/>
      <c r="AM38" s="98"/>
      <c r="AN38" s="98">
        <v>20808414437</v>
      </c>
      <c r="AO38" s="98"/>
      <c r="AP38" s="98"/>
      <c r="AQ38" s="98"/>
      <c r="AR38" s="98">
        <v>163515275801</v>
      </c>
      <c r="AS38" s="98">
        <v>122645504087</v>
      </c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9"/>
      <c r="BH38" s="99"/>
    </row>
    <row r="39" spans="1:60" ht="27.6" x14ac:dyDescent="0.3">
      <c r="A39" s="106">
        <v>76</v>
      </c>
      <c r="B39" s="120" t="s">
        <v>110</v>
      </c>
      <c r="C39" s="94">
        <f t="shared" si="1"/>
        <v>686304775288</v>
      </c>
      <c r="D39" s="94">
        <v>33531729255</v>
      </c>
      <c r="E39" s="95">
        <f t="shared" si="2"/>
        <v>652773046033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>
        <v>3002194729</v>
      </c>
      <c r="W39" s="96"/>
      <c r="X39" s="96">
        <v>500000000000</v>
      </c>
      <c r="Y39" s="96"/>
      <c r="Z39" s="96"/>
      <c r="AA39" s="96"/>
      <c r="AB39" s="96"/>
      <c r="AC39" s="96">
        <v>5733963922</v>
      </c>
      <c r="AD39" s="96"/>
      <c r="AE39" s="96"/>
      <c r="AF39" s="96"/>
      <c r="AG39" s="96"/>
      <c r="AH39" s="97"/>
      <c r="AI39" s="98">
        <v>11901858442</v>
      </c>
      <c r="AJ39" s="98"/>
      <c r="AK39" s="98"/>
      <c r="AL39" s="98"/>
      <c r="AM39" s="98"/>
      <c r="AN39" s="98">
        <v>12312278772</v>
      </c>
      <c r="AO39" s="98"/>
      <c r="AP39" s="98"/>
      <c r="AQ39" s="98"/>
      <c r="AR39" s="98">
        <v>50030255594</v>
      </c>
      <c r="AS39" s="98">
        <v>57321160028</v>
      </c>
      <c r="AT39" s="98">
        <v>12471334546</v>
      </c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9"/>
      <c r="BH39" s="99"/>
    </row>
    <row r="40" spans="1:60" ht="27.6" x14ac:dyDescent="0.3">
      <c r="A40" s="106">
        <v>78</v>
      </c>
      <c r="B40" s="120" t="s">
        <v>638</v>
      </c>
      <c r="C40" s="94">
        <f t="shared" si="1"/>
        <v>22161923239</v>
      </c>
      <c r="D40" s="94">
        <v>22161923239</v>
      </c>
      <c r="E40" s="95">
        <f t="shared" si="2"/>
        <v>0</v>
      </c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103"/>
      <c r="X40" s="103"/>
      <c r="Y40" s="96"/>
      <c r="Z40" s="96"/>
      <c r="AA40" s="96"/>
      <c r="AB40" s="96"/>
      <c r="AC40" s="96"/>
      <c r="AD40" s="96"/>
      <c r="AE40" s="96"/>
      <c r="AF40" s="96"/>
      <c r="AG40" s="96"/>
      <c r="AH40" s="97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9"/>
      <c r="BH40" s="99"/>
    </row>
    <row r="41" spans="1:60" ht="30" customHeight="1" x14ac:dyDescent="0.3">
      <c r="A41" s="106">
        <v>79</v>
      </c>
      <c r="B41" s="120" t="s">
        <v>124</v>
      </c>
      <c r="C41" s="94">
        <f t="shared" si="1"/>
        <v>70176496087</v>
      </c>
      <c r="D41" s="94">
        <v>1890000000</v>
      </c>
      <c r="E41" s="95">
        <f t="shared" si="2"/>
        <v>68286496087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>
        <v>123505929</v>
      </c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7"/>
      <c r="AI41" s="98">
        <v>133710594</v>
      </c>
      <c r="AJ41" s="98"/>
      <c r="AK41" s="98"/>
      <c r="AL41" s="98"/>
      <c r="AM41" s="98"/>
      <c r="AN41" s="98">
        <v>252845495</v>
      </c>
      <c r="AO41" s="98"/>
      <c r="AP41" s="98"/>
      <c r="AQ41" s="98"/>
      <c r="AR41" s="98">
        <v>29561721975</v>
      </c>
      <c r="AS41" s="98">
        <v>38214712094</v>
      </c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9"/>
      <c r="BH41" s="99"/>
    </row>
    <row r="42" spans="1:60" ht="27.6" x14ac:dyDescent="0.3">
      <c r="A42" s="106">
        <v>80</v>
      </c>
      <c r="B42" s="120" t="s">
        <v>52</v>
      </c>
      <c r="C42" s="94">
        <f t="shared" si="1"/>
        <v>48771592511</v>
      </c>
      <c r="D42" s="94">
        <v>7519767458</v>
      </c>
      <c r="E42" s="95">
        <f t="shared" si="2"/>
        <v>41251825053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>
        <v>289145085</v>
      </c>
      <c r="Q42" s="96"/>
      <c r="R42" s="96"/>
      <c r="S42" s="96"/>
      <c r="T42" s="96"/>
      <c r="U42" s="96"/>
      <c r="V42" s="96">
        <v>2053696318</v>
      </c>
      <c r="W42" s="96"/>
      <c r="X42" s="96"/>
      <c r="Y42" s="96"/>
      <c r="Z42" s="96"/>
      <c r="AA42" s="96"/>
      <c r="AB42" s="96"/>
      <c r="AC42" s="96">
        <v>3264211357</v>
      </c>
      <c r="AD42" s="96"/>
      <c r="AE42" s="96"/>
      <c r="AF42" s="96"/>
      <c r="AG42" s="96"/>
      <c r="AH42" s="97"/>
      <c r="AI42" s="98">
        <v>2526889792</v>
      </c>
      <c r="AJ42" s="98"/>
      <c r="AK42" s="98"/>
      <c r="AL42" s="98"/>
      <c r="AM42" s="98"/>
      <c r="AN42" s="98">
        <v>3737362485</v>
      </c>
      <c r="AO42" s="98"/>
      <c r="AP42" s="98"/>
      <c r="AQ42" s="98"/>
      <c r="AR42" s="98">
        <v>9321137751</v>
      </c>
      <c r="AS42" s="98">
        <v>10958782593</v>
      </c>
      <c r="AT42" s="98">
        <v>9100599672</v>
      </c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9"/>
      <c r="BH42" s="99"/>
    </row>
    <row r="43" spans="1:60" ht="30" customHeight="1" x14ac:dyDescent="0.3">
      <c r="A43" s="106">
        <v>81</v>
      </c>
      <c r="B43" s="120" t="s">
        <v>639</v>
      </c>
      <c r="C43" s="94">
        <f t="shared" si="1"/>
        <v>40770714839</v>
      </c>
      <c r="D43" s="94">
        <v>113742003853</v>
      </c>
      <c r="E43" s="95">
        <f t="shared" si="2"/>
        <v>-72971289014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01">
        <f>-SUM(P55:P56)</f>
        <v>-10169795551</v>
      </c>
      <c r="Q43" s="96">
        <v>-62801493463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9"/>
      <c r="BH43" s="99"/>
    </row>
    <row r="44" spans="1:60" ht="27.6" x14ac:dyDescent="0.3">
      <c r="A44" s="106">
        <v>82</v>
      </c>
      <c r="B44" s="120" t="s">
        <v>53</v>
      </c>
      <c r="C44" s="94">
        <f t="shared" si="1"/>
        <v>25957042468</v>
      </c>
      <c r="D44" s="94">
        <v>6859532516</v>
      </c>
      <c r="E44" s="95">
        <f t="shared" si="2"/>
        <v>19097509952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>
        <v>557485054</v>
      </c>
      <c r="Q44" s="96"/>
      <c r="R44" s="96"/>
      <c r="S44" s="96"/>
      <c r="T44" s="96"/>
      <c r="U44" s="96"/>
      <c r="V44" s="96">
        <v>659731508</v>
      </c>
      <c r="W44" s="96"/>
      <c r="X44" s="96"/>
      <c r="Y44" s="96"/>
      <c r="Z44" s="96"/>
      <c r="AA44" s="96"/>
      <c r="AB44" s="96"/>
      <c r="AC44" s="96">
        <v>1995065497</v>
      </c>
      <c r="AD44" s="96"/>
      <c r="AE44" s="96"/>
      <c r="AF44" s="96"/>
      <c r="AG44" s="96"/>
      <c r="AH44" s="97"/>
      <c r="AI44" s="98">
        <v>1162228697</v>
      </c>
      <c r="AJ44" s="98"/>
      <c r="AK44" s="98"/>
      <c r="AL44" s="98"/>
      <c r="AM44" s="98"/>
      <c r="AN44" s="98">
        <v>2418574481</v>
      </c>
      <c r="AO44" s="98"/>
      <c r="AP44" s="98"/>
      <c r="AQ44" s="98"/>
      <c r="AR44" s="98">
        <v>3817767133</v>
      </c>
      <c r="AS44" s="98">
        <v>6500498358</v>
      </c>
      <c r="AT44" s="98">
        <v>1986159224</v>
      </c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9"/>
      <c r="BH44" s="99"/>
    </row>
    <row r="45" spans="1:60" x14ac:dyDescent="0.3">
      <c r="A45" s="106">
        <v>83</v>
      </c>
      <c r="B45" s="120" t="s">
        <v>625</v>
      </c>
      <c r="C45" s="94">
        <f t="shared" si="1"/>
        <v>100000000</v>
      </c>
      <c r="D45" s="94">
        <v>100000000</v>
      </c>
      <c r="E45" s="95">
        <f t="shared" si="2"/>
        <v>0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9"/>
      <c r="BH45" s="99"/>
    </row>
    <row r="46" spans="1:60" ht="30" customHeight="1" x14ac:dyDescent="0.3">
      <c r="A46" s="106">
        <v>84</v>
      </c>
      <c r="B46" s="120" t="s">
        <v>626</v>
      </c>
      <c r="C46" s="94">
        <f t="shared" si="1"/>
        <v>100000000</v>
      </c>
      <c r="D46" s="94">
        <v>100000000</v>
      </c>
      <c r="E46" s="95">
        <f t="shared" si="2"/>
        <v>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9"/>
      <c r="BH46" s="99"/>
    </row>
    <row r="47" spans="1:60" ht="30" customHeight="1" x14ac:dyDescent="0.3">
      <c r="A47" s="106">
        <v>85</v>
      </c>
      <c r="B47" s="120" t="s">
        <v>55</v>
      </c>
      <c r="C47" s="94">
        <f t="shared" si="1"/>
        <v>1376484862691</v>
      </c>
      <c r="D47" s="94">
        <v>123689638636</v>
      </c>
      <c r="E47" s="95">
        <f t="shared" si="2"/>
        <v>1252795224055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>
        <v>11274657892</v>
      </c>
      <c r="Q47" s="96"/>
      <c r="R47" s="96"/>
      <c r="S47" s="96"/>
      <c r="T47" s="96"/>
      <c r="U47" s="96"/>
      <c r="V47" s="96">
        <v>19582427193</v>
      </c>
      <c r="W47" s="96"/>
      <c r="X47" s="96"/>
      <c r="Y47" s="96"/>
      <c r="Z47" s="96"/>
      <c r="AA47" s="96"/>
      <c r="AB47" s="96"/>
      <c r="AC47" s="96">
        <v>31792573531</v>
      </c>
      <c r="AD47" s="96"/>
      <c r="AE47" s="96"/>
      <c r="AF47" s="96"/>
      <c r="AG47" s="96"/>
      <c r="AH47" s="97"/>
      <c r="AI47" s="98">
        <v>35901615930</v>
      </c>
      <c r="AJ47" s="98"/>
      <c r="AK47" s="98"/>
      <c r="AL47" s="98"/>
      <c r="AM47" s="98"/>
      <c r="AN47" s="98">
        <v>168885831472</v>
      </c>
      <c r="AO47" s="98"/>
      <c r="AP47" s="98"/>
      <c r="AQ47" s="98"/>
      <c r="AR47" s="98">
        <v>314895584457</v>
      </c>
      <c r="AS47" s="98">
        <v>372375973900</v>
      </c>
      <c r="AT47" s="98">
        <v>298086559680</v>
      </c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9"/>
      <c r="BH47" s="99"/>
    </row>
    <row r="48" spans="1:60" ht="30" customHeight="1" x14ac:dyDescent="0.3">
      <c r="A48" s="106">
        <v>86</v>
      </c>
      <c r="B48" s="120" t="s">
        <v>34</v>
      </c>
      <c r="C48" s="94">
        <f t="shared" si="1"/>
        <v>197558735520</v>
      </c>
      <c r="D48" s="94">
        <v>4402665497</v>
      </c>
      <c r="E48" s="95">
        <f t="shared" si="2"/>
        <v>193156070023</v>
      </c>
      <c r="F48" s="96"/>
      <c r="G48" s="96"/>
      <c r="H48" s="96"/>
      <c r="I48" s="96"/>
      <c r="J48" s="96"/>
      <c r="K48" s="96"/>
      <c r="L48" s="96">
        <v>7689748572</v>
      </c>
      <c r="M48" s="96"/>
      <c r="N48" s="96"/>
      <c r="O48" s="96"/>
      <c r="P48" s="96">
        <v>5578453769</v>
      </c>
      <c r="Q48" s="96"/>
      <c r="R48" s="96"/>
      <c r="S48" s="96"/>
      <c r="T48" s="96"/>
      <c r="U48" s="96"/>
      <c r="V48" s="96">
        <v>14999199355</v>
      </c>
      <c r="W48" s="96"/>
      <c r="X48" s="96"/>
      <c r="Y48" s="96"/>
      <c r="Z48" s="96"/>
      <c r="AA48" s="96"/>
      <c r="AB48" s="96"/>
      <c r="AC48" s="96">
        <v>11645877537</v>
      </c>
      <c r="AD48" s="96"/>
      <c r="AE48" s="96"/>
      <c r="AF48" s="96"/>
      <c r="AG48" s="96"/>
      <c r="AH48" s="97"/>
      <c r="AI48" s="98">
        <v>11694033968</v>
      </c>
      <c r="AJ48" s="98"/>
      <c r="AK48" s="98"/>
      <c r="AL48" s="98"/>
      <c r="AM48" s="98"/>
      <c r="AN48" s="98">
        <v>22351769831</v>
      </c>
      <c r="AO48" s="98"/>
      <c r="AP48" s="98"/>
      <c r="AQ48" s="98"/>
      <c r="AR48" s="98">
        <v>45635872095</v>
      </c>
      <c r="AS48" s="98">
        <v>44869016645</v>
      </c>
      <c r="AT48" s="98">
        <v>28692098251</v>
      </c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9"/>
      <c r="BH48" s="99"/>
    </row>
    <row r="49" spans="1:60" x14ac:dyDescent="0.3">
      <c r="A49" s="106">
        <v>87</v>
      </c>
      <c r="B49" s="120" t="s">
        <v>91</v>
      </c>
      <c r="C49" s="94">
        <f t="shared" si="1"/>
        <v>19087730461</v>
      </c>
      <c r="D49" s="94">
        <v>7471000000</v>
      </c>
      <c r="E49" s="95">
        <f t="shared" si="2"/>
        <v>11616730461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>
        <v>41600000</v>
      </c>
      <c r="W49" s="96"/>
      <c r="X49" s="96"/>
      <c r="Y49" s="96"/>
      <c r="Z49" s="96"/>
      <c r="AA49" s="96"/>
      <c r="AB49" s="96"/>
      <c r="AC49" s="96">
        <v>575130461</v>
      </c>
      <c r="AD49" s="96"/>
      <c r="AE49" s="96"/>
      <c r="AF49" s="96"/>
      <c r="AG49" s="96"/>
      <c r="AH49" s="97"/>
      <c r="AI49" s="98"/>
      <c r="AJ49" s="98"/>
      <c r="AK49" s="98"/>
      <c r="AL49" s="98"/>
      <c r="AM49" s="98"/>
      <c r="AN49" s="98">
        <v>4000000000</v>
      </c>
      <c r="AO49" s="98"/>
      <c r="AP49" s="98"/>
      <c r="AQ49" s="98"/>
      <c r="AR49" s="98">
        <v>7000000000</v>
      </c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9"/>
      <c r="BH49" s="99"/>
    </row>
    <row r="50" spans="1:60" ht="30" customHeight="1" x14ac:dyDescent="0.3">
      <c r="A50" s="106">
        <v>88</v>
      </c>
      <c r="B50" s="120" t="s">
        <v>627</v>
      </c>
      <c r="C50" s="94">
        <f t="shared" si="1"/>
        <v>100000000</v>
      </c>
      <c r="D50" s="94">
        <v>100000000</v>
      </c>
      <c r="E50" s="95">
        <f t="shared" si="2"/>
        <v>0</v>
      </c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7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9"/>
      <c r="BH50" s="99"/>
    </row>
    <row r="51" spans="1:60" ht="30" customHeight="1" x14ac:dyDescent="0.3">
      <c r="A51" s="106">
        <v>89</v>
      </c>
      <c r="B51" s="120" t="s">
        <v>628</v>
      </c>
      <c r="C51" s="94">
        <f t="shared" si="1"/>
        <v>100000000</v>
      </c>
      <c r="D51" s="94">
        <v>100000000</v>
      </c>
      <c r="E51" s="95">
        <f t="shared" si="2"/>
        <v>0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7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9"/>
      <c r="BH51" s="99"/>
    </row>
    <row r="52" spans="1:60" ht="30" customHeight="1" x14ac:dyDescent="0.3">
      <c r="A52" s="106">
        <v>90</v>
      </c>
      <c r="B52" s="120" t="s">
        <v>629</v>
      </c>
      <c r="C52" s="94">
        <f t="shared" si="1"/>
        <v>100000000</v>
      </c>
      <c r="D52" s="94">
        <v>100000000</v>
      </c>
      <c r="E52" s="95">
        <f t="shared" si="2"/>
        <v>0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7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9"/>
      <c r="BH52" s="99"/>
    </row>
    <row r="53" spans="1:60" ht="30" customHeight="1" x14ac:dyDescent="0.3">
      <c r="A53" s="106"/>
      <c r="B53" s="120" t="s">
        <v>640</v>
      </c>
      <c r="C53" s="94">
        <f t="shared" si="1"/>
        <v>0</v>
      </c>
      <c r="D53" s="94"/>
      <c r="E53" s="95">
        <f t="shared" si="2"/>
        <v>0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7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9"/>
      <c r="BH53" s="99"/>
    </row>
    <row r="54" spans="1:60" ht="30" customHeight="1" x14ac:dyDescent="0.3">
      <c r="A54" s="106"/>
      <c r="B54" s="120" t="s">
        <v>641</v>
      </c>
      <c r="C54" s="94">
        <f t="shared" si="1"/>
        <v>0</v>
      </c>
      <c r="D54" s="94"/>
      <c r="E54" s="95">
        <f t="shared" si="2"/>
        <v>0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7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9"/>
      <c r="BH54" s="99"/>
    </row>
    <row r="55" spans="1:60" ht="30" customHeight="1" x14ac:dyDescent="0.3">
      <c r="A55" s="106"/>
      <c r="B55" s="120" t="s">
        <v>56</v>
      </c>
      <c r="C55" s="94">
        <f>E55</f>
        <v>668621549640</v>
      </c>
      <c r="D55" s="94"/>
      <c r="E55" s="95">
        <f t="shared" si="2"/>
        <v>668621549640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>
        <v>6884836554</v>
      </c>
      <c r="Q55" s="96">
        <v>53540944070</v>
      </c>
      <c r="R55" s="96"/>
      <c r="S55" s="96"/>
      <c r="T55" s="96"/>
      <c r="U55" s="96"/>
      <c r="V55" s="96">
        <v>13879787807</v>
      </c>
      <c r="W55" s="96"/>
      <c r="X55" s="96"/>
      <c r="Y55" s="96"/>
      <c r="Z55" s="96"/>
      <c r="AA55" s="96"/>
      <c r="AB55" s="96"/>
      <c r="AC55" s="96">
        <v>41089057577</v>
      </c>
      <c r="AD55" s="96"/>
      <c r="AE55" s="96"/>
      <c r="AF55" s="96"/>
      <c r="AG55" s="96"/>
      <c r="AH55" s="97"/>
      <c r="AI55" s="98">
        <v>46248946327</v>
      </c>
      <c r="AJ55" s="98"/>
      <c r="AK55" s="98"/>
      <c r="AL55" s="98"/>
      <c r="AM55" s="98"/>
      <c r="AN55" s="98">
        <v>107287174555</v>
      </c>
      <c r="AO55" s="98"/>
      <c r="AP55" s="98"/>
      <c r="AQ55" s="98"/>
      <c r="AR55" s="98">
        <v>215865573503</v>
      </c>
      <c r="AS55" s="98">
        <v>98766021879</v>
      </c>
      <c r="AT55" s="98">
        <v>85059207368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99"/>
    </row>
    <row r="56" spans="1:60" ht="30" customHeight="1" x14ac:dyDescent="0.3">
      <c r="A56" s="106"/>
      <c r="B56" s="120" t="s">
        <v>60</v>
      </c>
      <c r="C56" s="94">
        <f>E56</f>
        <v>101874912109</v>
      </c>
      <c r="D56" s="94"/>
      <c r="E56" s="95">
        <f t="shared" si="2"/>
        <v>101874912109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>
        <v>3284958997</v>
      </c>
      <c r="Q56" s="96">
        <v>9260549392</v>
      </c>
      <c r="R56" s="96"/>
      <c r="S56" s="96"/>
      <c r="T56" s="96"/>
      <c r="U56" s="96"/>
      <c r="V56" s="96">
        <v>1428739585</v>
      </c>
      <c r="W56" s="96"/>
      <c r="X56" s="96"/>
      <c r="Y56" s="96"/>
      <c r="Z56" s="96"/>
      <c r="AA56" s="96"/>
      <c r="AB56" s="96"/>
      <c r="AC56" s="96">
        <v>553044702</v>
      </c>
      <c r="AD56" s="96"/>
      <c r="AE56" s="96"/>
      <c r="AF56" s="96"/>
      <c r="AG56" s="96"/>
      <c r="AH56" s="97"/>
      <c r="AI56" s="98">
        <v>588187463</v>
      </c>
      <c r="AJ56" s="98"/>
      <c r="AK56" s="98"/>
      <c r="AL56" s="98"/>
      <c r="AM56" s="98"/>
      <c r="AN56" s="98">
        <v>13454896439</v>
      </c>
      <c r="AO56" s="98"/>
      <c r="AP56" s="98"/>
      <c r="AQ56" s="98"/>
      <c r="AR56" s="98">
        <v>40261878259</v>
      </c>
      <c r="AS56" s="98">
        <v>13041200803</v>
      </c>
      <c r="AT56" s="98">
        <v>20001456469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99"/>
    </row>
    <row r="57" spans="1:60" ht="27.6" x14ac:dyDescent="0.3">
      <c r="A57" s="106"/>
      <c r="B57" s="120" t="s">
        <v>111</v>
      </c>
      <c r="C57" s="94">
        <f>E57</f>
        <v>1386786966096</v>
      </c>
      <c r="D57" s="94"/>
      <c r="E57" s="95">
        <f t="shared" si="2"/>
        <v>1386786966096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>
        <v>57276069277</v>
      </c>
      <c r="W57" s="96"/>
      <c r="X57" s="96"/>
      <c r="Y57" s="96"/>
      <c r="Z57" s="96"/>
      <c r="AA57" s="96"/>
      <c r="AB57" s="96"/>
      <c r="AC57" s="96">
        <v>98163169217</v>
      </c>
      <c r="AD57" s="96"/>
      <c r="AE57" s="96">
        <v>317506019094</v>
      </c>
      <c r="AF57" s="96"/>
      <c r="AG57" s="96"/>
      <c r="AH57" s="97"/>
      <c r="AI57" s="98">
        <v>99212768913</v>
      </c>
      <c r="AJ57" s="98"/>
      <c r="AK57" s="98"/>
      <c r="AL57" s="98"/>
      <c r="AM57" s="98"/>
      <c r="AN57" s="98">
        <v>167756361573</v>
      </c>
      <c r="AO57" s="98"/>
      <c r="AP57" s="98"/>
      <c r="AQ57" s="98"/>
      <c r="AR57" s="98">
        <v>294248292242</v>
      </c>
      <c r="AS57" s="98">
        <v>275280820791</v>
      </c>
      <c r="AT57" s="98">
        <v>77343464989</v>
      </c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9"/>
      <c r="BH57" s="99"/>
    </row>
    <row r="58" spans="1:60" ht="27.6" x14ac:dyDescent="0.3">
      <c r="A58" s="106"/>
      <c r="B58" s="120" t="s">
        <v>167</v>
      </c>
      <c r="C58" s="94">
        <f>E58</f>
        <v>900723675</v>
      </c>
      <c r="D58" s="94"/>
      <c r="E58" s="95">
        <f t="shared" si="2"/>
        <v>900723675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7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>
        <v>900723675</v>
      </c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9"/>
      <c r="BH58" s="99"/>
    </row>
    <row r="59" spans="1:60" x14ac:dyDescent="0.3">
      <c r="A59" s="106"/>
      <c r="B59" s="120" t="s">
        <v>630</v>
      </c>
      <c r="C59" s="94">
        <f>SUM(D59:XFD59)</f>
        <v>758126825524</v>
      </c>
      <c r="D59" s="94">
        <v>79544362262</v>
      </c>
      <c r="E59" s="95">
        <f t="shared" si="2"/>
        <v>339291231631</v>
      </c>
      <c r="F59" s="96"/>
      <c r="G59" s="96"/>
      <c r="H59" s="96">
        <f>7546945582+2856944387+443555388+111909232</f>
        <v>10959354589</v>
      </c>
      <c r="I59" s="96"/>
      <c r="J59" s="96"/>
      <c r="K59" s="96"/>
      <c r="L59" s="96">
        <v>905167436</v>
      </c>
      <c r="M59" s="96"/>
      <c r="N59" s="96"/>
      <c r="O59" s="96"/>
      <c r="P59" s="96">
        <v>487181371</v>
      </c>
      <c r="Q59" s="96">
        <f>4306447154+4092458748</f>
        <v>8398905902</v>
      </c>
      <c r="R59" s="96">
        <v>9537497935</v>
      </c>
      <c r="S59" s="96">
        <v>905167436</v>
      </c>
      <c r="T59" s="96"/>
      <c r="U59" s="96"/>
      <c r="V59" s="96"/>
      <c r="W59" s="96"/>
      <c r="X59" s="96"/>
      <c r="Y59" s="96"/>
      <c r="Z59" s="96">
        <f>2728305832+700000000+487181371</f>
        <v>3915487203</v>
      </c>
      <c r="AA59" s="96">
        <v>3000000000</v>
      </c>
      <c r="AB59" s="96"/>
      <c r="AC59" s="96"/>
      <c r="AD59" s="96"/>
      <c r="AE59" s="96">
        <f>9115476190+7011904762</f>
        <v>16127380952</v>
      </c>
      <c r="AF59" s="96"/>
      <c r="AG59" s="96">
        <f>5710268782+2432508221</f>
        <v>8142777003</v>
      </c>
      <c r="AH59" s="97"/>
      <c r="AI59" s="98"/>
      <c r="AJ59" s="98"/>
      <c r="AK59" s="98">
        <f>1364152916+1240810441</f>
        <v>2604963357</v>
      </c>
      <c r="AL59" s="98"/>
      <c r="AM59" s="98">
        <v>11106750000</v>
      </c>
      <c r="AN59" s="98"/>
      <c r="AO59" s="98"/>
      <c r="AP59" s="98">
        <f>12699448924+1500000000</f>
        <v>14199448924</v>
      </c>
      <c r="AQ59" s="98"/>
      <c r="AR59" s="98"/>
      <c r="AS59" s="98"/>
      <c r="AT59" s="98"/>
      <c r="AU59" s="98"/>
      <c r="AV59" s="98">
        <v>4993027251</v>
      </c>
      <c r="AW59" s="98"/>
      <c r="AX59" s="98"/>
      <c r="AY59" s="98">
        <f>19633333333+5367629172</f>
        <v>25000962505</v>
      </c>
      <c r="AZ59" s="98"/>
      <c r="BA59" s="98"/>
      <c r="BB59" s="98"/>
      <c r="BC59" s="98">
        <f>22257608076+17171312245+8192485669+4598456864+23582787900</f>
        <v>75802650754</v>
      </c>
      <c r="BD59" s="98">
        <v>23582787900</v>
      </c>
      <c r="BE59" s="98">
        <f>102656821943+2597152811</f>
        <v>105253974754</v>
      </c>
      <c r="BF59" s="98">
        <f>11751347959+2616398400</f>
        <v>14367746359</v>
      </c>
      <c r="BG59" s="99"/>
      <c r="BH59" s="99"/>
    </row>
    <row r="60" spans="1:60" x14ac:dyDescent="0.3">
      <c r="A60" s="106"/>
      <c r="B60" s="120" t="s">
        <v>18</v>
      </c>
      <c r="C60" s="94">
        <f>SUM(D60:XFD60)</f>
        <v>13208544828</v>
      </c>
      <c r="D60" s="94">
        <v>1284175684</v>
      </c>
      <c r="E60" s="95">
        <f t="shared" si="2"/>
        <v>5962184572</v>
      </c>
      <c r="F60" s="96"/>
      <c r="G60" s="96"/>
      <c r="H60" s="96">
        <v>679248695</v>
      </c>
      <c r="I60" s="96"/>
      <c r="J60" s="96"/>
      <c r="K60" s="96"/>
      <c r="L60" s="96"/>
      <c r="M60" s="96"/>
      <c r="N60" s="96"/>
      <c r="O60" s="96"/>
      <c r="P60" s="96">
        <v>265124798</v>
      </c>
      <c r="Q60" s="96"/>
      <c r="R60" s="96"/>
      <c r="S60" s="96"/>
      <c r="T60" s="96"/>
      <c r="U60" s="96"/>
      <c r="V60" s="96">
        <v>300927053</v>
      </c>
      <c r="W60" s="96">
        <f>265124798+40000000</f>
        <v>305124798</v>
      </c>
      <c r="X60" s="96"/>
      <c r="Y60" s="96"/>
      <c r="Z60" s="96"/>
      <c r="AA60" s="96"/>
      <c r="AB60" s="96"/>
      <c r="AC60" s="96"/>
      <c r="AD60" s="96"/>
      <c r="AE60" s="96">
        <f>50000000+17951746</f>
        <v>67951746</v>
      </c>
      <c r="AF60" s="96"/>
      <c r="AG60" s="96">
        <v>300927053</v>
      </c>
      <c r="AH60" s="97">
        <v>209719741</v>
      </c>
      <c r="AI60" s="98"/>
      <c r="AJ60" s="98"/>
      <c r="AK60" s="98"/>
      <c r="AL60" s="98"/>
      <c r="AM60" s="98"/>
      <c r="AN60" s="98"/>
      <c r="AO60" s="98"/>
      <c r="AP60" s="98">
        <f>646870500+897952650+54415293</f>
        <v>1599238443</v>
      </c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>
        <f>1167654936+259958736</f>
        <v>1427613672</v>
      </c>
      <c r="BD60" s="98"/>
      <c r="BE60" s="98">
        <v>806308573</v>
      </c>
      <c r="BF60" s="98"/>
      <c r="BG60" s="99"/>
      <c r="BH60" s="99"/>
    </row>
    <row r="61" spans="1:60" x14ac:dyDescent="0.3">
      <c r="A61" s="106">
        <v>99</v>
      </c>
      <c r="B61" s="120" t="s">
        <v>631</v>
      </c>
      <c r="C61" s="94">
        <f>SUM(D61:XFD61)</f>
        <v>371234279563</v>
      </c>
      <c r="D61" s="94">
        <v>146101404847</v>
      </c>
      <c r="E61" s="95">
        <f t="shared" si="2"/>
        <v>112566437358</v>
      </c>
      <c r="F61" s="96">
        <v>2100540000</v>
      </c>
      <c r="G61" s="96"/>
      <c r="H61" s="96">
        <v>131955446</v>
      </c>
      <c r="I61" s="104">
        <v>755000000</v>
      </c>
      <c r="J61" s="96"/>
      <c r="K61" s="96"/>
      <c r="L61" s="96"/>
      <c r="M61" s="96"/>
      <c r="N61" s="96"/>
      <c r="O61" s="96"/>
      <c r="P61" s="96"/>
      <c r="Q61" s="96">
        <v>90171200</v>
      </c>
      <c r="R61" s="96"/>
      <c r="S61" s="96">
        <v>800000000</v>
      </c>
      <c r="T61" s="96">
        <f>2227392000+1120712027</f>
        <v>3348104027</v>
      </c>
      <c r="U61" s="96"/>
      <c r="V61" s="96"/>
      <c r="W61" s="96"/>
      <c r="X61" s="96"/>
      <c r="Y61" s="96"/>
      <c r="Z61" s="96">
        <v>7812727827</v>
      </c>
      <c r="AA61" s="96">
        <f>11287645600+2200000000+2103000000</f>
        <v>15590645600</v>
      </c>
      <c r="AB61" s="96"/>
      <c r="AC61" s="96"/>
      <c r="AD61" s="96">
        <v>3000000000</v>
      </c>
      <c r="AE61" s="96">
        <v>6428574477</v>
      </c>
      <c r="AF61" s="96"/>
      <c r="AG61" s="96"/>
      <c r="AH61" s="105">
        <f>6600000000+16450232185+1500000000</f>
        <v>24550232185</v>
      </c>
      <c r="AI61" s="98"/>
      <c r="AJ61" s="98"/>
      <c r="AK61" s="98"/>
      <c r="AL61" s="98">
        <v>5000000000</v>
      </c>
      <c r="AM61" s="98"/>
      <c r="AN61" s="98"/>
      <c r="AO61" s="98"/>
      <c r="AP61" s="98">
        <f>6557712308+2235022160+1942491579</f>
        <v>10735226047</v>
      </c>
      <c r="AQ61" s="98"/>
      <c r="AR61" s="98"/>
      <c r="AS61" s="98"/>
      <c r="AT61" s="98"/>
      <c r="AU61" s="98"/>
      <c r="AV61" s="98"/>
      <c r="AW61" s="98">
        <f>9237570549+3880000000+300000000</f>
        <v>13417570549</v>
      </c>
      <c r="AX61" s="98">
        <v>5500000000</v>
      </c>
      <c r="AY61" s="98"/>
      <c r="AZ61" s="98"/>
      <c r="BA61" s="98">
        <v>2340000000</v>
      </c>
      <c r="BB61" s="98">
        <f>1215690000+9750000000</f>
        <v>10965690000</v>
      </c>
      <c r="BC61" s="98"/>
      <c r="BD61" s="98"/>
      <c r="BE61" s="98"/>
      <c r="BF61" s="98"/>
      <c r="BG61" s="99"/>
      <c r="BH61" s="99"/>
    </row>
    <row r="62" spans="1:60" x14ac:dyDescent="0.3">
      <c r="A62" s="106"/>
      <c r="B62" s="107" t="s">
        <v>632</v>
      </c>
      <c r="C62" s="108">
        <f>+D62+E62</f>
        <v>58050291181995</v>
      </c>
      <c r="D62" s="108">
        <f>SUM(D2:D56)+D61</f>
        <v>8479300860837</v>
      </c>
      <c r="E62" s="108">
        <f>SUM(E2:E61)</f>
        <v>49570990321158</v>
      </c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9"/>
      <c r="BH62" s="99"/>
    </row>
    <row r="63" spans="1:60" x14ac:dyDescent="0.3">
      <c r="A63" s="109"/>
      <c r="B63" s="110"/>
      <c r="C63" s="111"/>
      <c r="D63" s="111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60" x14ac:dyDescent="0.3">
      <c r="A64" s="115"/>
      <c r="B64" s="110"/>
      <c r="C64" s="116"/>
      <c r="D64" s="116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</row>
    <row r="65" spans="1:46" x14ac:dyDescent="0.3">
      <c r="A65" s="117"/>
      <c r="B65" s="110"/>
      <c r="C65" s="117"/>
      <c r="D65" s="117"/>
      <c r="AT65" s="118"/>
    </row>
    <row r="66" spans="1:46" x14ac:dyDescent="0.3">
      <c r="A66" s="117"/>
      <c r="B66" s="110"/>
      <c r="C66" s="117"/>
      <c r="D66" s="117"/>
    </row>
    <row r="67" spans="1:46" x14ac:dyDescent="0.3">
      <c r="A67" s="117"/>
      <c r="B67" s="110"/>
      <c r="C67" s="119"/>
      <c r="D67" s="117"/>
    </row>
    <row r="68" spans="1:46" x14ac:dyDescent="0.3">
      <c r="A68" s="117"/>
      <c r="B68" s="110"/>
      <c r="C68" s="117"/>
      <c r="D68" s="117"/>
    </row>
    <row r="69" spans="1:46" x14ac:dyDescent="0.3">
      <c r="A69" s="117"/>
      <c r="B69" s="110"/>
      <c r="C69" s="117"/>
      <c r="D69" s="117"/>
    </row>
    <row r="70" spans="1:46" x14ac:dyDescent="0.3">
      <c r="A70" s="117"/>
      <c r="B70" s="110"/>
      <c r="C70" s="117"/>
      <c r="D70" s="117"/>
    </row>
    <row r="71" spans="1:46" x14ac:dyDescent="0.3">
      <c r="A71" s="117"/>
      <c r="B71" s="110"/>
      <c r="C71" s="117"/>
      <c r="D71" s="117"/>
    </row>
    <row r="72" spans="1:46" x14ac:dyDescent="0.3">
      <c r="A72" s="117"/>
      <c r="B72" s="110"/>
      <c r="C72" s="117"/>
      <c r="D72" s="117"/>
    </row>
    <row r="73" spans="1:46" x14ac:dyDescent="0.3">
      <c r="A73" s="117"/>
      <c r="B73" s="110"/>
      <c r="C73" s="117"/>
      <c r="D73" s="117"/>
    </row>
    <row r="74" spans="1:46" x14ac:dyDescent="0.3">
      <c r="A74" s="117"/>
      <c r="B74" s="110"/>
      <c r="C74" s="117"/>
      <c r="D74" s="117"/>
    </row>
    <row r="75" spans="1:46" x14ac:dyDescent="0.3">
      <c r="A75" s="117"/>
      <c r="B75" s="110"/>
      <c r="C75" s="117"/>
      <c r="D75" s="117"/>
    </row>
    <row r="76" spans="1:46" x14ac:dyDescent="0.3">
      <c r="A76" s="117"/>
      <c r="B76" s="110"/>
      <c r="C76" s="117"/>
      <c r="D76" s="117"/>
    </row>
    <row r="77" spans="1:46" x14ac:dyDescent="0.3">
      <c r="A77" s="117"/>
      <c r="B77" s="110"/>
      <c r="C77" s="117"/>
      <c r="D77" s="117"/>
    </row>
    <row r="78" spans="1:46" x14ac:dyDescent="0.3">
      <c r="A78" s="117"/>
      <c r="B78" s="110"/>
      <c r="C78" s="117"/>
      <c r="D78" s="117"/>
    </row>
    <row r="79" spans="1:46" x14ac:dyDescent="0.3">
      <c r="A79" s="117"/>
      <c r="B79" s="110"/>
      <c r="C79" s="117"/>
      <c r="D79" s="117"/>
    </row>
    <row r="80" spans="1:46" x14ac:dyDescent="0.3">
      <c r="A80" s="117"/>
      <c r="B80" s="110"/>
      <c r="C80" s="117"/>
      <c r="D80" s="117"/>
    </row>
    <row r="81" spans="1:4" x14ac:dyDescent="0.3">
      <c r="A81" s="117"/>
      <c r="B81" s="110"/>
      <c r="C81" s="117"/>
      <c r="D81" s="117"/>
    </row>
    <row r="82" spans="1:4" x14ac:dyDescent="0.3">
      <c r="A82" s="117"/>
      <c r="B82" s="110"/>
      <c r="C82" s="117"/>
      <c r="D82" s="117"/>
    </row>
    <row r="83" spans="1:4" x14ac:dyDescent="0.3">
      <c r="A83" s="117"/>
      <c r="B83" s="110"/>
      <c r="C83" s="117"/>
      <c r="D83" s="117"/>
    </row>
    <row r="84" spans="1:4" x14ac:dyDescent="0.3">
      <c r="A84" s="117"/>
      <c r="B84" s="110"/>
      <c r="C84" s="117"/>
      <c r="D84" s="117"/>
    </row>
    <row r="85" spans="1:4" x14ac:dyDescent="0.3">
      <c r="A85" s="117"/>
      <c r="B85" s="110"/>
      <c r="C85" s="117"/>
      <c r="D85" s="117"/>
    </row>
    <row r="86" spans="1:4" x14ac:dyDescent="0.3">
      <c r="A86" s="117"/>
      <c r="B86" s="110"/>
      <c r="C86" s="117"/>
      <c r="D86" s="117"/>
    </row>
    <row r="87" spans="1:4" x14ac:dyDescent="0.3">
      <c r="A87" s="117"/>
      <c r="B87" s="110"/>
      <c r="C87" s="117"/>
      <c r="D87" s="117"/>
    </row>
    <row r="88" spans="1:4" x14ac:dyDescent="0.3">
      <c r="A88" s="117"/>
      <c r="B88" s="110"/>
      <c r="C88" s="117"/>
      <c r="D88" s="117"/>
    </row>
    <row r="89" spans="1:4" x14ac:dyDescent="0.3">
      <c r="A89" s="117"/>
      <c r="B89" s="110"/>
      <c r="C89" s="117"/>
      <c r="D89" s="117"/>
    </row>
    <row r="90" spans="1:4" x14ac:dyDescent="0.3">
      <c r="A90" s="117"/>
      <c r="B90" s="110"/>
      <c r="C90" s="117"/>
      <c r="D90" s="117"/>
    </row>
    <row r="91" spans="1:4" x14ac:dyDescent="0.3">
      <c r="A91" s="117"/>
      <c r="B91" s="110"/>
      <c r="C91" s="117"/>
      <c r="D91" s="117"/>
    </row>
    <row r="92" spans="1:4" x14ac:dyDescent="0.3">
      <c r="A92" s="117"/>
      <c r="B92" s="110"/>
      <c r="C92" s="117"/>
      <c r="D92" s="117"/>
    </row>
    <row r="93" spans="1:4" x14ac:dyDescent="0.3">
      <c r="A93" s="117"/>
      <c r="B93" s="110"/>
      <c r="C93" s="117"/>
      <c r="D93" s="117"/>
    </row>
    <row r="94" spans="1:4" x14ac:dyDescent="0.3">
      <c r="A94" s="117"/>
      <c r="B94" s="110"/>
      <c r="C94" s="117"/>
      <c r="D94" s="117"/>
    </row>
    <row r="95" spans="1:4" x14ac:dyDescent="0.3">
      <c r="A95" s="117"/>
      <c r="B95" s="110"/>
      <c r="C95" s="117"/>
      <c r="D95" s="117"/>
    </row>
    <row r="96" spans="1:4" x14ac:dyDescent="0.3">
      <c r="A96" s="117"/>
      <c r="B96" s="110"/>
      <c r="C96" s="117"/>
      <c r="D96" s="117"/>
    </row>
    <row r="97" spans="1:4" x14ac:dyDescent="0.3">
      <c r="A97" s="117"/>
      <c r="B97" s="110"/>
      <c r="C97" s="117"/>
      <c r="D97" s="117"/>
    </row>
    <row r="98" spans="1:4" x14ac:dyDescent="0.3">
      <c r="A98" s="117"/>
      <c r="B98" s="110"/>
      <c r="C98" s="117"/>
      <c r="D98" s="117"/>
    </row>
    <row r="99" spans="1:4" x14ac:dyDescent="0.3">
      <c r="A99" s="117"/>
      <c r="B99" s="110"/>
      <c r="C99" s="117"/>
      <c r="D99" s="117"/>
    </row>
    <row r="100" spans="1:4" x14ac:dyDescent="0.3">
      <c r="A100" s="117"/>
      <c r="B100" s="110"/>
      <c r="C100" s="117"/>
      <c r="D100" s="117"/>
    </row>
    <row r="101" spans="1:4" x14ac:dyDescent="0.3">
      <c r="A101" s="117"/>
      <c r="B101" s="110"/>
      <c r="C101" s="117"/>
      <c r="D101" s="117"/>
    </row>
    <row r="102" spans="1:4" x14ac:dyDescent="0.3">
      <c r="A102" s="117"/>
      <c r="B102" s="110"/>
      <c r="C102" s="117"/>
      <c r="D102" s="117"/>
    </row>
    <row r="103" spans="1:4" x14ac:dyDescent="0.3">
      <c r="A103" s="117"/>
      <c r="B103" s="110"/>
      <c r="C103" s="117"/>
      <c r="D103" s="117"/>
    </row>
    <row r="104" spans="1:4" x14ac:dyDescent="0.3">
      <c r="A104" s="117"/>
      <c r="B104" s="110"/>
      <c r="C104" s="117"/>
      <c r="D104" s="117"/>
    </row>
    <row r="105" spans="1:4" x14ac:dyDescent="0.3">
      <c r="A105" s="117"/>
      <c r="B105" s="110"/>
      <c r="C105" s="117"/>
      <c r="D105" s="117"/>
    </row>
    <row r="106" spans="1:4" x14ac:dyDescent="0.3">
      <c r="A106" s="117"/>
      <c r="B106" s="110"/>
      <c r="C106" s="117"/>
      <c r="D106" s="117"/>
    </row>
    <row r="107" spans="1:4" x14ac:dyDescent="0.3">
      <c r="A107" s="117"/>
      <c r="B107" s="110"/>
      <c r="C107" s="117"/>
      <c r="D107" s="117"/>
    </row>
    <row r="108" spans="1:4" x14ac:dyDescent="0.3">
      <c r="A108" s="117"/>
      <c r="B108" s="110"/>
      <c r="C108" s="117"/>
      <c r="D108" s="117"/>
    </row>
    <row r="109" spans="1:4" x14ac:dyDescent="0.3">
      <c r="A109" s="117"/>
      <c r="B109" s="110"/>
      <c r="C109" s="117"/>
      <c r="D109" s="117"/>
    </row>
    <row r="110" spans="1:4" x14ac:dyDescent="0.3">
      <c r="A110" s="117"/>
      <c r="B110" s="110"/>
      <c r="C110" s="117"/>
      <c r="D110" s="117"/>
    </row>
    <row r="111" spans="1:4" x14ac:dyDescent="0.3">
      <c r="A111" s="117"/>
      <c r="B111" s="110"/>
      <c r="C111" s="117"/>
      <c r="D111" s="117"/>
    </row>
    <row r="112" spans="1:4" x14ac:dyDescent="0.3">
      <c r="A112" s="117"/>
      <c r="B112" s="110"/>
      <c r="C112" s="117"/>
      <c r="D112" s="117"/>
    </row>
    <row r="113" spans="1:4" x14ac:dyDescent="0.3">
      <c r="A113" s="117"/>
      <c r="B113" s="110"/>
      <c r="C113" s="117"/>
      <c r="D113" s="117"/>
    </row>
    <row r="114" spans="1:4" x14ac:dyDescent="0.3">
      <c r="A114" s="117"/>
      <c r="B114" s="110"/>
      <c r="C114" s="117"/>
      <c r="D114" s="117"/>
    </row>
    <row r="115" spans="1:4" x14ac:dyDescent="0.3">
      <c r="A115" s="117"/>
      <c r="B115" s="110"/>
      <c r="C115" s="117"/>
      <c r="D115" s="117"/>
    </row>
    <row r="116" spans="1:4" x14ac:dyDescent="0.3">
      <c r="A116" s="117"/>
      <c r="B116" s="110"/>
      <c r="C116" s="117"/>
      <c r="D116" s="117"/>
    </row>
    <row r="117" spans="1:4" x14ac:dyDescent="0.3">
      <c r="A117" s="117"/>
      <c r="B117" s="110"/>
      <c r="C117" s="117"/>
      <c r="D117" s="117"/>
    </row>
    <row r="118" spans="1:4" x14ac:dyDescent="0.3">
      <c r="A118" s="117"/>
      <c r="B118" s="110"/>
      <c r="C118" s="117"/>
      <c r="D118" s="117"/>
    </row>
    <row r="119" spans="1:4" x14ac:dyDescent="0.3">
      <c r="A119" s="117"/>
      <c r="B119" s="110"/>
      <c r="C119" s="117"/>
      <c r="D119" s="117"/>
    </row>
    <row r="120" spans="1:4" x14ac:dyDescent="0.3">
      <c r="A120" s="117"/>
      <c r="B120" s="110"/>
      <c r="C120" s="117"/>
      <c r="D120" s="117"/>
    </row>
    <row r="121" spans="1:4" x14ac:dyDescent="0.3">
      <c r="A121" s="117"/>
      <c r="B121" s="110"/>
      <c r="C121" s="117"/>
      <c r="D121" s="117"/>
    </row>
    <row r="122" spans="1:4" x14ac:dyDescent="0.3">
      <c r="A122" s="117"/>
      <c r="B122" s="110"/>
      <c r="C122" s="117"/>
      <c r="D122" s="117"/>
    </row>
    <row r="123" spans="1:4" x14ac:dyDescent="0.3">
      <c r="A123" s="117"/>
      <c r="B123" s="110"/>
      <c r="C123" s="117"/>
      <c r="D123" s="117"/>
    </row>
    <row r="124" spans="1:4" x14ac:dyDescent="0.3">
      <c r="A124" s="117"/>
      <c r="B124" s="110"/>
      <c r="C124" s="117"/>
      <c r="D124" s="117"/>
    </row>
    <row r="125" spans="1:4" x14ac:dyDescent="0.3">
      <c r="A125" s="117"/>
      <c r="B125" s="110"/>
      <c r="C125" s="117"/>
      <c r="D125" s="117"/>
    </row>
    <row r="126" spans="1:4" x14ac:dyDescent="0.3">
      <c r="A126" s="117"/>
      <c r="B126" s="110"/>
      <c r="C126" s="117"/>
      <c r="D126" s="117"/>
    </row>
    <row r="127" spans="1:4" x14ac:dyDescent="0.3">
      <c r="A127" s="117"/>
      <c r="B127" s="110"/>
      <c r="C127" s="117"/>
      <c r="D127" s="117"/>
    </row>
    <row r="128" spans="1:4" x14ac:dyDescent="0.3">
      <c r="A128" s="117"/>
      <c r="B128" s="110"/>
      <c r="C128" s="117"/>
      <c r="D128" s="117"/>
    </row>
    <row r="129" spans="1:4" x14ac:dyDescent="0.3">
      <c r="A129" s="117"/>
      <c r="B129" s="110"/>
      <c r="C129" s="117"/>
      <c r="D129" s="117"/>
    </row>
    <row r="130" spans="1:4" x14ac:dyDescent="0.3">
      <c r="A130" s="117"/>
      <c r="B130" s="110"/>
      <c r="C130" s="117"/>
      <c r="D130" s="117"/>
    </row>
    <row r="131" spans="1:4" x14ac:dyDescent="0.3">
      <c r="A131" s="117"/>
      <c r="B131" s="110"/>
      <c r="C131" s="117"/>
      <c r="D131" s="117"/>
    </row>
    <row r="132" spans="1:4" x14ac:dyDescent="0.3">
      <c r="A132" s="117"/>
      <c r="B132" s="110"/>
      <c r="C132" s="117"/>
      <c r="D132" s="117"/>
    </row>
    <row r="133" spans="1:4" x14ac:dyDescent="0.3">
      <c r="A133" s="117"/>
      <c r="B133" s="110"/>
      <c r="C133" s="117"/>
      <c r="D133" s="117"/>
    </row>
    <row r="134" spans="1:4" x14ac:dyDescent="0.3">
      <c r="A134" s="117"/>
      <c r="B134" s="110"/>
      <c r="C134" s="117"/>
      <c r="D134" s="117"/>
    </row>
    <row r="135" spans="1:4" x14ac:dyDescent="0.3">
      <c r="A135" s="117"/>
      <c r="B135" s="110"/>
      <c r="C135" s="117"/>
      <c r="D135" s="117"/>
    </row>
    <row r="136" spans="1:4" x14ac:dyDescent="0.3">
      <c r="A136" s="117"/>
      <c r="B136" s="110"/>
      <c r="C136" s="117"/>
      <c r="D136" s="117"/>
    </row>
    <row r="137" spans="1:4" x14ac:dyDescent="0.3">
      <c r="A137" s="117"/>
      <c r="B137" s="110"/>
      <c r="C137" s="117"/>
      <c r="D137" s="117"/>
    </row>
    <row r="138" spans="1:4" x14ac:dyDescent="0.3">
      <c r="A138" s="117"/>
      <c r="B138" s="110"/>
      <c r="C138" s="117"/>
      <c r="D138" s="117"/>
    </row>
    <row r="139" spans="1:4" x14ac:dyDescent="0.3">
      <c r="A139" s="117"/>
      <c r="B139" s="110"/>
      <c r="C139" s="117"/>
      <c r="D139" s="117"/>
    </row>
    <row r="140" spans="1:4" x14ac:dyDescent="0.3">
      <c r="A140" s="117"/>
      <c r="B140" s="110"/>
      <c r="C140" s="117"/>
      <c r="D140" s="117"/>
    </row>
    <row r="141" spans="1:4" x14ac:dyDescent="0.3">
      <c r="A141" s="117"/>
      <c r="B141" s="110"/>
      <c r="C141" s="117"/>
      <c r="D141" s="117"/>
    </row>
    <row r="142" spans="1:4" x14ac:dyDescent="0.3">
      <c r="A142" s="117"/>
      <c r="B142" s="110"/>
      <c r="C142" s="117"/>
      <c r="D142" s="117"/>
    </row>
    <row r="143" spans="1:4" x14ac:dyDescent="0.3">
      <c r="A143" s="117"/>
      <c r="B143" s="110"/>
      <c r="C143" s="117"/>
      <c r="D143" s="117"/>
    </row>
    <row r="144" spans="1:4" x14ac:dyDescent="0.3">
      <c r="A144" s="117"/>
      <c r="B144" s="110"/>
      <c r="C144" s="117"/>
      <c r="D144" s="117"/>
    </row>
    <row r="145" spans="1:4" x14ac:dyDescent="0.3">
      <c r="A145" s="117"/>
      <c r="B145" s="110"/>
      <c r="C145" s="117"/>
      <c r="D145" s="117"/>
    </row>
    <row r="146" spans="1:4" x14ac:dyDescent="0.3">
      <c r="A146" s="117"/>
      <c r="B146" s="110"/>
      <c r="C146" s="117"/>
      <c r="D146" s="117"/>
    </row>
    <row r="147" spans="1:4" x14ac:dyDescent="0.3">
      <c r="A147" s="117"/>
      <c r="B147" s="110"/>
      <c r="C147" s="117"/>
      <c r="D147" s="117"/>
    </row>
    <row r="148" spans="1:4" x14ac:dyDescent="0.3">
      <c r="A148" s="117"/>
      <c r="B148" s="110"/>
      <c r="C148" s="117"/>
      <c r="D148" s="117"/>
    </row>
    <row r="149" spans="1:4" x14ac:dyDescent="0.3">
      <c r="A149" s="117"/>
      <c r="B149" s="110"/>
      <c r="C149" s="117"/>
      <c r="D149" s="117"/>
    </row>
    <row r="150" spans="1:4" x14ac:dyDescent="0.3">
      <c r="A150" s="117"/>
      <c r="B150" s="110"/>
      <c r="C150" s="117"/>
      <c r="D150" s="117"/>
    </row>
    <row r="151" spans="1:4" x14ac:dyDescent="0.3">
      <c r="A151" s="117"/>
      <c r="B151" s="110"/>
      <c r="C151" s="117"/>
      <c r="D151" s="117"/>
    </row>
    <row r="152" spans="1:4" x14ac:dyDescent="0.3">
      <c r="A152" s="117"/>
      <c r="B152" s="110"/>
      <c r="C152" s="117"/>
      <c r="D152" s="117"/>
    </row>
    <row r="153" spans="1:4" x14ac:dyDescent="0.3">
      <c r="A153" s="117"/>
      <c r="B153" s="110"/>
      <c r="C153" s="117"/>
      <c r="D153" s="117"/>
    </row>
    <row r="154" spans="1:4" x14ac:dyDescent="0.3">
      <c r="A154" s="117"/>
      <c r="B154" s="110"/>
      <c r="C154" s="117"/>
      <c r="D154" s="117"/>
    </row>
    <row r="155" spans="1:4" x14ac:dyDescent="0.3">
      <c r="A155" s="117"/>
      <c r="B155" s="110"/>
      <c r="C155" s="117"/>
      <c r="D155" s="117"/>
    </row>
    <row r="156" spans="1:4" x14ac:dyDescent="0.3">
      <c r="A156" s="117"/>
      <c r="B156" s="110"/>
      <c r="C156" s="117"/>
      <c r="D156" s="117"/>
    </row>
    <row r="157" spans="1:4" x14ac:dyDescent="0.3">
      <c r="A157" s="117"/>
      <c r="B157" s="110"/>
      <c r="C157" s="117"/>
      <c r="D157" s="117"/>
    </row>
    <row r="158" spans="1:4" x14ac:dyDescent="0.3">
      <c r="A158" s="117"/>
      <c r="B158" s="110"/>
      <c r="C158" s="117"/>
      <c r="D158" s="117"/>
    </row>
    <row r="159" spans="1:4" x14ac:dyDescent="0.3">
      <c r="A159" s="117"/>
      <c r="B159" s="110"/>
      <c r="C159" s="117"/>
      <c r="D159" s="117"/>
    </row>
    <row r="160" spans="1:4" x14ac:dyDescent="0.3">
      <c r="A160" s="117"/>
      <c r="B160" s="110"/>
      <c r="C160" s="117"/>
      <c r="D160" s="117"/>
    </row>
    <row r="161" spans="1:4" x14ac:dyDescent="0.3">
      <c r="A161" s="117"/>
      <c r="B161" s="110"/>
      <c r="C161" s="117"/>
      <c r="D161" s="117"/>
    </row>
    <row r="162" spans="1:4" x14ac:dyDescent="0.3">
      <c r="A162" s="117"/>
      <c r="B162" s="110"/>
      <c r="C162" s="117"/>
      <c r="D162" s="117"/>
    </row>
    <row r="163" spans="1:4" x14ac:dyDescent="0.3">
      <c r="A163" s="117"/>
      <c r="B163" s="110"/>
      <c r="C163" s="117"/>
      <c r="D163" s="117"/>
    </row>
    <row r="164" spans="1:4" x14ac:dyDescent="0.3">
      <c r="A164" s="117"/>
      <c r="B164" s="110"/>
      <c r="C164" s="117"/>
      <c r="D164" s="117"/>
    </row>
    <row r="165" spans="1:4" x14ac:dyDescent="0.3">
      <c r="A165" s="117"/>
      <c r="B165" s="110"/>
      <c r="C165" s="117"/>
      <c r="D165" s="117"/>
    </row>
    <row r="166" spans="1:4" x14ac:dyDescent="0.3">
      <c r="A166" s="117"/>
      <c r="B166" s="110"/>
      <c r="C166" s="117"/>
      <c r="D166" s="117"/>
    </row>
    <row r="167" spans="1:4" x14ac:dyDescent="0.3">
      <c r="A167" s="117"/>
      <c r="B167" s="110"/>
      <c r="C167" s="117"/>
      <c r="D167" s="117"/>
    </row>
    <row r="168" spans="1:4" x14ac:dyDescent="0.3">
      <c r="A168" s="117"/>
      <c r="B168" s="110"/>
      <c r="C168" s="117"/>
      <c r="D168" s="117"/>
    </row>
    <row r="169" spans="1:4" x14ac:dyDescent="0.3">
      <c r="A169" s="117"/>
      <c r="B169" s="110"/>
      <c r="C169" s="117"/>
      <c r="D169" s="117"/>
    </row>
    <row r="170" spans="1:4" x14ac:dyDescent="0.3">
      <c r="A170" s="117"/>
      <c r="B170" s="110"/>
      <c r="C170" s="117"/>
      <c r="D170" s="117"/>
    </row>
    <row r="171" spans="1:4" x14ac:dyDescent="0.3">
      <c r="A171" s="117"/>
      <c r="B171" s="110"/>
      <c r="C171" s="117"/>
      <c r="D171" s="117"/>
    </row>
    <row r="172" spans="1:4" x14ac:dyDescent="0.3">
      <c r="A172" s="117"/>
      <c r="B172" s="110"/>
      <c r="C172" s="117"/>
      <c r="D172" s="117"/>
    </row>
    <row r="173" spans="1:4" x14ac:dyDescent="0.3">
      <c r="A173" s="117"/>
      <c r="B173" s="110"/>
      <c r="C173" s="117"/>
      <c r="D173" s="117"/>
    </row>
    <row r="174" spans="1:4" x14ac:dyDescent="0.3">
      <c r="A174" s="117"/>
      <c r="B174" s="110"/>
      <c r="C174" s="117"/>
      <c r="D174" s="117"/>
    </row>
    <row r="175" spans="1:4" x14ac:dyDescent="0.3">
      <c r="A175" s="117"/>
      <c r="B175" s="110"/>
      <c r="C175" s="117"/>
      <c r="D175" s="117"/>
    </row>
    <row r="176" spans="1:4" x14ac:dyDescent="0.3">
      <c r="A176" s="117"/>
      <c r="B176" s="110"/>
      <c r="C176" s="117"/>
      <c r="D176" s="117"/>
    </row>
    <row r="177" spans="1:4" x14ac:dyDescent="0.3">
      <c r="A177" s="117"/>
      <c r="B177" s="110"/>
      <c r="C177" s="117"/>
      <c r="D177" s="117"/>
    </row>
    <row r="178" spans="1:4" x14ac:dyDescent="0.3">
      <c r="A178" s="117"/>
      <c r="B178" s="110"/>
      <c r="C178" s="117"/>
      <c r="D178" s="117"/>
    </row>
    <row r="179" spans="1:4" x14ac:dyDescent="0.3">
      <c r="A179" s="117"/>
      <c r="B179" s="110"/>
      <c r="C179" s="117"/>
      <c r="D179" s="117"/>
    </row>
    <row r="180" spans="1:4" x14ac:dyDescent="0.3">
      <c r="A180" s="117"/>
      <c r="B180" s="110"/>
      <c r="C180" s="117"/>
      <c r="D180" s="117"/>
    </row>
    <row r="181" spans="1:4" x14ac:dyDescent="0.3">
      <c r="A181" s="117"/>
      <c r="B181" s="110"/>
      <c r="C181" s="117"/>
      <c r="D181" s="117"/>
    </row>
    <row r="182" spans="1:4" x14ac:dyDescent="0.3">
      <c r="A182" s="117"/>
      <c r="B182" s="110"/>
      <c r="C182" s="117"/>
      <c r="D182" s="117"/>
    </row>
    <row r="183" spans="1:4" x14ac:dyDescent="0.3">
      <c r="A183" s="117"/>
      <c r="B183" s="110"/>
      <c r="C183" s="117"/>
      <c r="D183" s="117"/>
    </row>
    <row r="184" spans="1:4" x14ac:dyDescent="0.3">
      <c r="A184" s="117"/>
      <c r="B184" s="110"/>
      <c r="C184" s="117"/>
      <c r="D184" s="117"/>
    </row>
    <row r="185" spans="1:4" x14ac:dyDescent="0.3">
      <c r="A185" s="117"/>
      <c r="B185" s="110"/>
      <c r="C185" s="117"/>
      <c r="D185" s="117"/>
    </row>
    <row r="186" spans="1:4" x14ac:dyDescent="0.3">
      <c r="A186" s="117"/>
      <c r="B186" s="110"/>
      <c r="C186" s="117"/>
      <c r="D186" s="117"/>
    </row>
    <row r="187" spans="1:4" x14ac:dyDescent="0.3">
      <c r="A187" s="117"/>
      <c r="B187" s="110"/>
      <c r="C187" s="117"/>
      <c r="D187" s="117"/>
    </row>
    <row r="188" spans="1:4" x14ac:dyDescent="0.3">
      <c r="A188" s="117"/>
      <c r="B188" s="110"/>
      <c r="C188" s="117"/>
      <c r="D188" s="117"/>
    </row>
    <row r="189" spans="1:4" x14ac:dyDescent="0.3">
      <c r="A189" s="117"/>
      <c r="B189" s="110"/>
      <c r="C189" s="117"/>
      <c r="D189" s="117"/>
    </row>
    <row r="190" spans="1:4" x14ac:dyDescent="0.3">
      <c r="A190" s="117"/>
      <c r="B190" s="110"/>
      <c r="C190" s="117"/>
      <c r="D190" s="117"/>
    </row>
    <row r="191" spans="1:4" x14ac:dyDescent="0.3">
      <c r="A191" s="117"/>
      <c r="B191" s="110"/>
      <c r="C191" s="117"/>
      <c r="D191" s="117"/>
    </row>
    <row r="192" spans="1:4" x14ac:dyDescent="0.3">
      <c r="A192" s="117"/>
      <c r="B192" s="110"/>
      <c r="C192" s="117"/>
      <c r="D192" s="117"/>
    </row>
    <row r="193" spans="1:4" x14ac:dyDescent="0.3">
      <c r="A193" s="117"/>
      <c r="B193" s="110"/>
      <c r="C193" s="117"/>
      <c r="D193" s="117"/>
    </row>
    <row r="194" spans="1:4" x14ac:dyDescent="0.3">
      <c r="A194" s="117"/>
      <c r="B194" s="110"/>
      <c r="C194" s="117"/>
      <c r="D194" s="117"/>
    </row>
    <row r="195" spans="1:4" x14ac:dyDescent="0.3">
      <c r="A195" s="117"/>
      <c r="B195" s="110"/>
      <c r="C195" s="117"/>
      <c r="D195" s="117"/>
    </row>
    <row r="196" spans="1:4" x14ac:dyDescent="0.3">
      <c r="A196" s="117"/>
      <c r="B196" s="110"/>
      <c r="C196" s="117"/>
      <c r="D196" s="117"/>
    </row>
    <row r="197" spans="1:4" x14ac:dyDescent="0.3">
      <c r="A197" s="117"/>
      <c r="B197" s="110"/>
      <c r="C197" s="117"/>
      <c r="D197" s="117"/>
    </row>
    <row r="198" spans="1:4" x14ac:dyDescent="0.3">
      <c r="A198" s="117"/>
      <c r="B198" s="110"/>
      <c r="C198" s="117"/>
      <c r="D198" s="117"/>
    </row>
    <row r="199" spans="1:4" x14ac:dyDescent="0.3">
      <c r="A199" s="117"/>
      <c r="B199" s="110"/>
      <c r="C199" s="117"/>
      <c r="D199" s="117"/>
    </row>
    <row r="200" spans="1:4" x14ac:dyDescent="0.3">
      <c r="A200" s="117"/>
      <c r="B200" s="110"/>
      <c r="C200" s="117"/>
      <c r="D200" s="117"/>
    </row>
    <row r="201" spans="1:4" x14ac:dyDescent="0.3">
      <c r="A201" s="117"/>
      <c r="B201" s="110"/>
      <c r="C201" s="117"/>
      <c r="D201" s="117"/>
    </row>
    <row r="202" spans="1:4" x14ac:dyDescent="0.3">
      <c r="A202" s="117"/>
      <c r="B202" s="110"/>
      <c r="C202" s="117"/>
      <c r="D202" s="117"/>
    </row>
    <row r="203" spans="1:4" x14ac:dyDescent="0.3">
      <c r="A203" s="117"/>
      <c r="B203" s="110"/>
      <c r="C203" s="117"/>
      <c r="D203" s="117"/>
    </row>
    <row r="204" spans="1:4" x14ac:dyDescent="0.3">
      <c r="A204" s="117"/>
      <c r="B204" s="110"/>
      <c r="C204" s="117"/>
      <c r="D204" s="117"/>
    </row>
    <row r="205" spans="1:4" x14ac:dyDescent="0.3">
      <c r="A205" s="117"/>
      <c r="B205" s="110"/>
      <c r="C205" s="117"/>
      <c r="D205" s="117"/>
    </row>
    <row r="206" spans="1:4" x14ac:dyDescent="0.3">
      <c r="A206" s="117"/>
      <c r="B206" s="110"/>
      <c r="C206" s="117"/>
      <c r="D206" s="117"/>
    </row>
    <row r="207" spans="1:4" x14ac:dyDescent="0.3">
      <c r="A207" s="117"/>
      <c r="B207" s="110"/>
      <c r="C207" s="117"/>
      <c r="D207" s="117"/>
    </row>
    <row r="208" spans="1:4" x14ac:dyDescent="0.3">
      <c r="A208" s="117"/>
      <c r="B208" s="110"/>
      <c r="C208" s="117"/>
      <c r="D208" s="117"/>
    </row>
    <row r="209" spans="1:4" x14ac:dyDescent="0.3">
      <c r="A209" s="117"/>
      <c r="B209" s="110"/>
      <c r="C209" s="117"/>
      <c r="D209" s="117"/>
    </row>
    <row r="210" spans="1:4" x14ac:dyDescent="0.3">
      <c r="A210" s="117"/>
      <c r="B210" s="110"/>
      <c r="C210" s="117"/>
      <c r="D210" s="117"/>
    </row>
    <row r="211" spans="1:4" x14ac:dyDescent="0.3">
      <c r="A211" s="117"/>
      <c r="B211" s="110"/>
      <c r="C211" s="117"/>
      <c r="D211" s="117"/>
    </row>
    <row r="212" spans="1:4" x14ac:dyDescent="0.3">
      <c r="A212" s="117"/>
      <c r="B212" s="110"/>
      <c r="C212" s="117"/>
      <c r="D212" s="117"/>
    </row>
    <row r="213" spans="1:4" x14ac:dyDescent="0.3">
      <c r="A213" s="117"/>
      <c r="B213" s="110"/>
      <c r="C213" s="117"/>
      <c r="D213" s="117"/>
    </row>
    <row r="214" spans="1:4" x14ac:dyDescent="0.3">
      <c r="A214" s="117"/>
      <c r="B214" s="110"/>
      <c r="C214" s="117"/>
      <c r="D214" s="117"/>
    </row>
    <row r="215" spans="1:4" x14ac:dyDescent="0.3">
      <c r="A215" s="117"/>
      <c r="B215" s="110"/>
      <c r="C215" s="117"/>
      <c r="D215" s="117"/>
    </row>
    <row r="216" spans="1:4" x14ac:dyDescent="0.3">
      <c r="A216" s="117"/>
      <c r="B216" s="110"/>
      <c r="C216" s="117"/>
      <c r="D216" s="117"/>
    </row>
    <row r="217" spans="1:4" x14ac:dyDescent="0.3">
      <c r="A217" s="117"/>
      <c r="B217" s="110"/>
      <c r="C217" s="117"/>
      <c r="D217" s="117"/>
    </row>
    <row r="218" spans="1:4" x14ac:dyDescent="0.3">
      <c r="A218" s="117"/>
      <c r="B218" s="110"/>
      <c r="C218" s="117"/>
      <c r="D218" s="117"/>
    </row>
    <row r="219" spans="1:4" x14ac:dyDescent="0.3">
      <c r="A219" s="117"/>
      <c r="B219" s="110"/>
      <c r="C219" s="117"/>
      <c r="D219" s="117"/>
    </row>
    <row r="220" spans="1:4" x14ac:dyDescent="0.3">
      <c r="A220" s="117"/>
      <c r="B220" s="110"/>
      <c r="C220" s="117"/>
      <c r="D220" s="117"/>
    </row>
    <row r="221" spans="1:4" x14ac:dyDescent="0.3">
      <c r="A221" s="117"/>
      <c r="B221" s="110"/>
      <c r="C221" s="117"/>
      <c r="D221" s="117"/>
    </row>
    <row r="222" spans="1:4" x14ac:dyDescent="0.3">
      <c r="A222" s="117"/>
      <c r="B222" s="110"/>
      <c r="C222" s="117"/>
      <c r="D222" s="117"/>
    </row>
    <row r="223" spans="1:4" x14ac:dyDescent="0.3">
      <c r="A223" s="117"/>
      <c r="B223" s="110"/>
      <c r="C223" s="117"/>
      <c r="D223" s="117"/>
    </row>
    <row r="224" spans="1:4" x14ac:dyDescent="0.3">
      <c r="A224" s="117"/>
      <c r="B224" s="110"/>
      <c r="C224" s="117"/>
      <c r="D224" s="117"/>
    </row>
    <row r="225" spans="1:4" x14ac:dyDescent="0.3">
      <c r="A225" s="117"/>
      <c r="B225" s="110"/>
      <c r="C225" s="117"/>
      <c r="D225" s="117"/>
    </row>
    <row r="226" spans="1:4" x14ac:dyDescent="0.3">
      <c r="A226" s="117"/>
      <c r="B226" s="110"/>
      <c r="C226" s="117"/>
      <c r="D226" s="117"/>
    </row>
    <row r="227" spans="1:4" x14ac:dyDescent="0.3">
      <c r="A227" s="117"/>
      <c r="B227" s="110"/>
      <c r="C227" s="117"/>
      <c r="D227" s="117"/>
    </row>
    <row r="228" spans="1:4" x14ac:dyDescent="0.3">
      <c r="A228" s="117"/>
      <c r="B228" s="110"/>
      <c r="C228" s="117"/>
      <c r="D228" s="117"/>
    </row>
    <row r="229" spans="1:4" x14ac:dyDescent="0.3">
      <c r="A229" s="117"/>
      <c r="B229" s="110"/>
      <c r="C229" s="117"/>
      <c r="D229" s="117"/>
    </row>
    <row r="230" spans="1:4" x14ac:dyDescent="0.3">
      <c r="A230" s="117"/>
      <c r="B230" s="110"/>
      <c r="C230" s="117"/>
      <c r="D230" s="117"/>
    </row>
    <row r="231" spans="1:4" x14ac:dyDescent="0.3">
      <c r="A231" s="117"/>
      <c r="B231" s="110"/>
      <c r="C231" s="117"/>
      <c r="D231" s="117"/>
    </row>
    <row r="232" spans="1:4" x14ac:dyDescent="0.3">
      <c r="A232" s="117"/>
      <c r="B232" s="110"/>
      <c r="C232" s="117"/>
      <c r="D232" s="117"/>
    </row>
    <row r="233" spans="1:4" x14ac:dyDescent="0.3">
      <c r="A233" s="117"/>
      <c r="B233" s="110"/>
      <c r="C233" s="117"/>
      <c r="D233" s="117"/>
    </row>
    <row r="234" spans="1:4" x14ac:dyDescent="0.3">
      <c r="A234" s="117"/>
      <c r="B234" s="110"/>
      <c r="C234" s="117"/>
      <c r="D234" s="117"/>
    </row>
    <row r="235" spans="1:4" x14ac:dyDescent="0.3">
      <c r="A235" s="117"/>
      <c r="B235" s="110"/>
      <c r="C235" s="117"/>
      <c r="D235" s="117"/>
    </row>
    <row r="236" spans="1:4" x14ac:dyDescent="0.3">
      <c r="A236" s="117"/>
      <c r="B236" s="110"/>
      <c r="C236" s="117"/>
      <c r="D236" s="117"/>
    </row>
    <row r="237" spans="1:4" x14ac:dyDescent="0.3">
      <c r="A237" s="117"/>
      <c r="B237" s="110"/>
      <c r="C237" s="117"/>
      <c r="D237" s="117"/>
    </row>
    <row r="238" spans="1:4" x14ac:dyDescent="0.3">
      <c r="A238" s="117"/>
      <c r="B238" s="110"/>
      <c r="C238" s="117"/>
      <c r="D238" s="117"/>
    </row>
    <row r="239" spans="1:4" x14ac:dyDescent="0.3">
      <c r="A239" s="117"/>
      <c r="B239" s="110"/>
      <c r="C239" s="117"/>
      <c r="D239" s="117"/>
    </row>
    <row r="240" spans="1:4" x14ac:dyDescent="0.3">
      <c r="A240" s="117"/>
      <c r="B240" s="110"/>
      <c r="C240" s="117"/>
      <c r="D240" s="117"/>
    </row>
    <row r="241" spans="1:4" x14ac:dyDescent="0.3">
      <c r="A241" s="117"/>
      <c r="B241" s="110"/>
      <c r="C241" s="117"/>
      <c r="D241" s="117"/>
    </row>
    <row r="242" spans="1:4" x14ac:dyDescent="0.3">
      <c r="A242" s="117"/>
      <c r="B242" s="110"/>
      <c r="C242" s="117"/>
      <c r="D242" s="117"/>
    </row>
    <row r="243" spans="1:4" x14ac:dyDescent="0.3">
      <c r="A243" s="117"/>
      <c r="B243" s="110"/>
      <c r="C243" s="117"/>
      <c r="D243" s="117"/>
    </row>
    <row r="244" spans="1:4" x14ac:dyDescent="0.3">
      <c r="A244" s="117"/>
      <c r="B244" s="110"/>
      <c r="C244" s="117"/>
      <c r="D244" s="117"/>
    </row>
    <row r="245" spans="1:4" x14ac:dyDescent="0.3">
      <c r="A245" s="117"/>
      <c r="B245" s="110"/>
      <c r="C245" s="117"/>
      <c r="D245" s="117"/>
    </row>
    <row r="246" spans="1:4" x14ac:dyDescent="0.3">
      <c r="A246" s="117"/>
      <c r="B246" s="110"/>
      <c r="C246" s="117"/>
      <c r="D246" s="117"/>
    </row>
    <row r="247" spans="1:4" x14ac:dyDescent="0.3">
      <c r="A247" s="117"/>
      <c r="B247" s="110"/>
      <c r="C247" s="117"/>
      <c r="D247" s="117"/>
    </row>
    <row r="248" spans="1:4" x14ac:dyDescent="0.3">
      <c r="A248" s="117"/>
      <c r="B248" s="110"/>
      <c r="C248" s="117"/>
      <c r="D248" s="117"/>
    </row>
    <row r="249" spans="1:4" x14ac:dyDescent="0.3">
      <c r="A249" s="117"/>
      <c r="B249" s="110"/>
      <c r="C249" s="117"/>
      <c r="D249" s="117"/>
    </row>
    <row r="250" spans="1:4" x14ac:dyDescent="0.3">
      <c r="A250" s="117"/>
      <c r="B250" s="110"/>
      <c r="C250" s="117"/>
      <c r="D250" s="117"/>
    </row>
    <row r="251" spans="1:4" x14ac:dyDescent="0.3">
      <c r="A251" s="117"/>
      <c r="B251" s="110"/>
      <c r="C251" s="117"/>
      <c r="D251" s="117"/>
    </row>
    <row r="252" spans="1:4" x14ac:dyDescent="0.3">
      <c r="A252" s="117"/>
      <c r="B252" s="110"/>
      <c r="C252" s="117"/>
      <c r="D252" s="117"/>
    </row>
    <row r="253" spans="1:4" x14ac:dyDescent="0.3">
      <c r="A253" s="117"/>
      <c r="B253" s="110"/>
      <c r="C253" s="117"/>
      <c r="D253" s="117"/>
    </row>
    <row r="254" spans="1:4" x14ac:dyDescent="0.3">
      <c r="A254" s="117"/>
      <c r="B254" s="110"/>
      <c r="C254" s="117"/>
      <c r="D254" s="117"/>
    </row>
    <row r="255" spans="1:4" x14ac:dyDescent="0.3">
      <c r="A255" s="117"/>
      <c r="B255" s="110"/>
      <c r="C255" s="117"/>
      <c r="D255" s="117"/>
    </row>
    <row r="256" spans="1:4" x14ac:dyDescent="0.3">
      <c r="A256" s="117"/>
      <c r="B256" s="110"/>
      <c r="C256" s="117"/>
      <c r="D256" s="117"/>
    </row>
    <row r="257" spans="1:4" x14ac:dyDescent="0.3">
      <c r="A257" s="117"/>
      <c r="B257" s="110"/>
      <c r="C257" s="117"/>
      <c r="D257" s="117"/>
    </row>
    <row r="258" spans="1:4" x14ac:dyDescent="0.3">
      <c r="A258" s="117"/>
      <c r="B258" s="110"/>
      <c r="C258" s="117"/>
      <c r="D258" s="117"/>
    </row>
    <row r="259" spans="1:4" x14ac:dyDescent="0.3">
      <c r="A259" s="117"/>
      <c r="B259" s="110"/>
      <c r="C259" s="117"/>
      <c r="D259" s="117"/>
    </row>
    <row r="260" spans="1:4" x14ac:dyDescent="0.3">
      <c r="A260" s="117"/>
      <c r="B260" s="110"/>
      <c r="C260" s="117"/>
      <c r="D260" s="117"/>
    </row>
    <row r="261" spans="1:4" x14ac:dyDescent="0.3">
      <c r="A261" s="117"/>
      <c r="B261" s="110"/>
      <c r="C261" s="117"/>
      <c r="D261" s="117"/>
    </row>
    <row r="262" spans="1:4" x14ac:dyDescent="0.3">
      <c r="A262" s="117"/>
      <c r="B262" s="110"/>
      <c r="C262" s="117"/>
      <c r="D262" s="117"/>
    </row>
    <row r="263" spans="1:4" x14ac:dyDescent="0.3">
      <c r="A263" s="117"/>
      <c r="B263" s="110"/>
      <c r="C263" s="117"/>
      <c r="D263" s="117"/>
    </row>
    <row r="264" spans="1:4" x14ac:dyDescent="0.3">
      <c r="A264" s="117"/>
      <c r="B264" s="110"/>
      <c r="C264" s="117"/>
      <c r="D264" s="117"/>
    </row>
    <row r="265" spans="1:4" x14ac:dyDescent="0.3">
      <c r="A265" s="117"/>
      <c r="B265" s="110"/>
      <c r="C265" s="117"/>
      <c r="D265" s="117"/>
    </row>
    <row r="266" spans="1:4" x14ac:dyDescent="0.3">
      <c r="A266" s="117"/>
      <c r="B266" s="110"/>
      <c r="C266" s="117"/>
      <c r="D266" s="117"/>
    </row>
    <row r="267" spans="1:4" x14ac:dyDescent="0.3">
      <c r="A267" s="117"/>
      <c r="B267" s="110"/>
      <c r="C267" s="117"/>
      <c r="D267" s="117"/>
    </row>
    <row r="268" spans="1:4" x14ac:dyDescent="0.3">
      <c r="A268" s="117"/>
      <c r="B268" s="110"/>
      <c r="C268" s="117"/>
      <c r="D268" s="117"/>
    </row>
    <row r="269" spans="1:4" x14ac:dyDescent="0.3">
      <c r="A269" s="117"/>
      <c r="B269" s="110"/>
      <c r="C269" s="117"/>
      <c r="D269" s="117"/>
    </row>
    <row r="270" spans="1:4" x14ac:dyDescent="0.3">
      <c r="A270" s="117"/>
      <c r="B270" s="110"/>
      <c r="C270" s="117"/>
      <c r="D270" s="117"/>
    </row>
    <row r="271" spans="1:4" x14ac:dyDescent="0.3">
      <c r="A271" s="117"/>
      <c r="B271" s="110"/>
      <c r="C271" s="117"/>
      <c r="D271" s="117"/>
    </row>
    <row r="272" spans="1:4" x14ac:dyDescent="0.3">
      <c r="A272" s="117"/>
      <c r="B272" s="110"/>
      <c r="C272" s="117"/>
      <c r="D272" s="117"/>
    </row>
    <row r="273" spans="1:4" x14ac:dyDescent="0.3">
      <c r="A273" s="117"/>
      <c r="B273" s="110"/>
      <c r="C273" s="117"/>
      <c r="D273" s="117"/>
    </row>
    <row r="274" spans="1:4" x14ac:dyDescent="0.3">
      <c r="A274" s="117"/>
      <c r="B274" s="110"/>
      <c r="C274" s="117"/>
      <c r="D274" s="117"/>
    </row>
    <row r="275" spans="1:4" x14ac:dyDescent="0.3">
      <c r="A275" s="117"/>
      <c r="B275" s="110"/>
      <c r="C275" s="117"/>
      <c r="D275" s="117"/>
    </row>
    <row r="276" spans="1:4" x14ac:dyDescent="0.3">
      <c r="A276" s="117"/>
      <c r="B276" s="110"/>
      <c r="C276" s="117"/>
      <c r="D276" s="117"/>
    </row>
    <row r="277" spans="1:4" x14ac:dyDescent="0.3">
      <c r="A277" s="117"/>
      <c r="B277" s="110"/>
      <c r="C277" s="117"/>
      <c r="D277" s="117"/>
    </row>
    <row r="278" spans="1:4" x14ac:dyDescent="0.3">
      <c r="A278" s="117"/>
      <c r="B278" s="110"/>
      <c r="C278" s="117"/>
      <c r="D278" s="117"/>
    </row>
    <row r="279" spans="1:4" x14ac:dyDescent="0.3">
      <c r="A279" s="117"/>
      <c r="B279" s="110"/>
      <c r="C279" s="117"/>
      <c r="D279" s="117"/>
    </row>
    <row r="280" spans="1:4" x14ac:dyDescent="0.3">
      <c r="A280" s="117"/>
      <c r="B280" s="110"/>
      <c r="C280" s="117"/>
      <c r="D280" s="117"/>
    </row>
    <row r="281" spans="1:4" x14ac:dyDescent="0.3">
      <c r="A281" s="117"/>
      <c r="B281" s="110"/>
      <c r="C281" s="117"/>
      <c r="D281" s="117"/>
    </row>
    <row r="282" spans="1:4" x14ac:dyDescent="0.3">
      <c r="A282" s="117"/>
      <c r="B282" s="110"/>
      <c r="C282" s="117"/>
      <c r="D282" s="117"/>
    </row>
    <row r="283" spans="1:4" x14ac:dyDescent="0.3">
      <c r="A283" s="117"/>
      <c r="B283" s="110"/>
      <c r="C283" s="117"/>
      <c r="D283" s="117"/>
    </row>
    <row r="284" spans="1:4" x14ac:dyDescent="0.3">
      <c r="A284" s="117"/>
      <c r="B284" s="110"/>
      <c r="C284" s="117"/>
      <c r="D284" s="117"/>
    </row>
    <row r="285" spans="1:4" x14ac:dyDescent="0.3">
      <c r="A285" s="117"/>
      <c r="B285" s="110"/>
      <c r="C285" s="117"/>
      <c r="D285" s="117"/>
    </row>
    <row r="286" spans="1:4" x14ac:dyDescent="0.3">
      <c r="A286" s="117"/>
      <c r="B286" s="110"/>
      <c r="C286" s="117"/>
      <c r="D286" s="117"/>
    </row>
    <row r="287" spans="1:4" x14ac:dyDescent="0.3">
      <c r="A287" s="117"/>
      <c r="B287" s="110"/>
      <c r="C287" s="117"/>
      <c r="D287" s="117"/>
    </row>
    <row r="288" spans="1:4" x14ac:dyDescent="0.3">
      <c r="A288" s="117"/>
      <c r="B288" s="110"/>
      <c r="C288" s="117"/>
      <c r="D288" s="117"/>
    </row>
    <row r="289" spans="1:4" x14ac:dyDescent="0.3">
      <c r="A289" s="117"/>
      <c r="B289" s="110"/>
      <c r="C289" s="117"/>
      <c r="D289" s="117"/>
    </row>
    <row r="290" spans="1:4" x14ac:dyDescent="0.3">
      <c r="A290" s="117"/>
      <c r="B290" s="110"/>
      <c r="C290" s="117"/>
      <c r="D290" s="117"/>
    </row>
    <row r="291" spans="1:4" x14ac:dyDescent="0.3">
      <c r="A291" s="117"/>
      <c r="B291" s="110"/>
      <c r="C291" s="117"/>
      <c r="D291" s="117"/>
    </row>
    <row r="292" spans="1:4" x14ac:dyDescent="0.3">
      <c r="A292" s="117"/>
      <c r="B292" s="110"/>
      <c r="C292" s="117"/>
      <c r="D292" s="117"/>
    </row>
    <row r="293" spans="1:4" x14ac:dyDescent="0.3">
      <c r="A293" s="117"/>
      <c r="B293" s="110"/>
      <c r="C293" s="117"/>
      <c r="D293" s="117"/>
    </row>
    <row r="294" spans="1:4" x14ac:dyDescent="0.3">
      <c r="A294" s="117"/>
      <c r="B294" s="110"/>
      <c r="C294" s="117"/>
      <c r="D294" s="117"/>
    </row>
    <row r="295" spans="1:4" x14ac:dyDescent="0.3">
      <c r="A295" s="117"/>
      <c r="B295" s="110"/>
      <c r="C295" s="117"/>
      <c r="D295" s="117"/>
    </row>
    <row r="296" spans="1:4" x14ac:dyDescent="0.3">
      <c r="A296" s="117"/>
      <c r="B296" s="110"/>
      <c r="C296" s="117"/>
      <c r="D296" s="117"/>
    </row>
    <row r="297" spans="1:4" x14ac:dyDescent="0.3">
      <c r="A297" s="117"/>
      <c r="B297" s="110"/>
      <c r="C297" s="117"/>
      <c r="D297" s="117"/>
    </row>
    <row r="298" spans="1:4" x14ac:dyDescent="0.3">
      <c r="A298" s="117"/>
      <c r="B298" s="110"/>
      <c r="C298" s="117"/>
      <c r="D298" s="117"/>
    </row>
    <row r="299" spans="1:4" x14ac:dyDescent="0.3">
      <c r="A299" s="117"/>
      <c r="B299" s="110"/>
      <c r="C299" s="117"/>
      <c r="D299" s="117"/>
    </row>
    <row r="300" spans="1:4" x14ac:dyDescent="0.3">
      <c r="A300" s="117"/>
      <c r="B300" s="110"/>
      <c r="C300" s="117"/>
      <c r="D300" s="117"/>
    </row>
    <row r="301" spans="1:4" x14ac:dyDescent="0.3">
      <c r="A301" s="117"/>
      <c r="B301" s="110"/>
      <c r="C301" s="117"/>
      <c r="D301" s="117"/>
    </row>
    <row r="302" spans="1:4" x14ac:dyDescent="0.3">
      <c r="A302" s="117"/>
      <c r="B302" s="110"/>
      <c r="C302" s="117"/>
      <c r="D302" s="117"/>
    </row>
    <row r="303" spans="1:4" x14ac:dyDescent="0.3">
      <c r="A303" s="117"/>
      <c r="B303" s="110"/>
      <c r="C303" s="117"/>
      <c r="D303" s="117"/>
    </row>
    <row r="304" spans="1:4" x14ac:dyDescent="0.3">
      <c r="A304" s="117"/>
      <c r="B304" s="110"/>
      <c r="C304" s="117"/>
      <c r="D304" s="117"/>
    </row>
    <row r="305" spans="1:4" x14ac:dyDescent="0.3">
      <c r="A305" s="117"/>
      <c r="B305" s="110"/>
      <c r="C305" s="117"/>
      <c r="D305" s="117"/>
    </row>
    <row r="306" spans="1:4" x14ac:dyDescent="0.3">
      <c r="A306" s="117"/>
      <c r="B306" s="110"/>
      <c r="C306" s="117"/>
      <c r="D306" s="117"/>
    </row>
    <row r="307" spans="1:4" x14ac:dyDescent="0.3">
      <c r="A307" s="117"/>
      <c r="B307" s="110"/>
      <c r="C307" s="117"/>
      <c r="D307" s="117"/>
    </row>
    <row r="308" spans="1:4" x14ac:dyDescent="0.3">
      <c r="A308" s="117"/>
      <c r="B308" s="110"/>
      <c r="C308" s="117"/>
      <c r="D308" s="117"/>
    </row>
    <row r="309" spans="1:4" x14ac:dyDescent="0.3">
      <c r="A309" s="117"/>
      <c r="B309" s="110"/>
      <c r="C309" s="117"/>
      <c r="D309" s="117"/>
    </row>
    <row r="310" spans="1:4" x14ac:dyDescent="0.3">
      <c r="A310" s="117"/>
      <c r="B310" s="110"/>
      <c r="C310" s="117"/>
      <c r="D310" s="117"/>
    </row>
    <row r="311" spans="1:4" x14ac:dyDescent="0.3">
      <c r="A311" s="117"/>
      <c r="B311" s="110"/>
      <c r="C311" s="117"/>
      <c r="D311" s="117"/>
    </row>
    <row r="312" spans="1:4" x14ac:dyDescent="0.3">
      <c r="A312" s="117"/>
      <c r="B312" s="110"/>
      <c r="C312" s="117"/>
      <c r="D312" s="117"/>
    </row>
    <row r="313" spans="1:4" x14ac:dyDescent="0.3">
      <c r="A313" s="117"/>
      <c r="B313" s="110"/>
      <c r="C313" s="117"/>
      <c r="D313" s="117"/>
    </row>
    <row r="314" spans="1:4" x14ac:dyDescent="0.3">
      <c r="A314" s="117"/>
      <c r="B314" s="110"/>
      <c r="C314" s="117"/>
      <c r="D314" s="117"/>
    </row>
    <row r="315" spans="1:4" x14ac:dyDescent="0.3">
      <c r="A315" s="117"/>
      <c r="B315" s="110"/>
      <c r="C315" s="117"/>
      <c r="D315" s="117"/>
    </row>
    <row r="316" spans="1:4" x14ac:dyDescent="0.3">
      <c r="A316" s="117"/>
      <c r="B316" s="110"/>
      <c r="C316" s="117"/>
      <c r="D316" s="117"/>
    </row>
    <row r="317" spans="1:4" x14ac:dyDescent="0.3">
      <c r="A317" s="117"/>
      <c r="B317" s="110"/>
      <c r="C317" s="117"/>
      <c r="D317" s="117"/>
    </row>
    <row r="318" spans="1:4" x14ac:dyDescent="0.3">
      <c r="A318" s="117"/>
      <c r="B318" s="110"/>
      <c r="C318" s="117"/>
      <c r="D318" s="117"/>
    </row>
    <row r="319" spans="1:4" x14ac:dyDescent="0.3">
      <c r="A319" s="117"/>
      <c r="B319" s="110"/>
      <c r="C319" s="117"/>
      <c r="D319" s="117"/>
    </row>
    <row r="320" spans="1:4" x14ac:dyDescent="0.3">
      <c r="A320" s="117"/>
      <c r="B320" s="110"/>
      <c r="C320" s="117"/>
      <c r="D320" s="117"/>
    </row>
    <row r="321" spans="1:4" x14ac:dyDescent="0.3">
      <c r="A321" s="117"/>
      <c r="B321" s="110"/>
      <c r="C321" s="117"/>
      <c r="D321" s="117"/>
    </row>
    <row r="322" spans="1:4" x14ac:dyDescent="0.3">
      <c r="A322" s="117"/>
      <c r="B322" s="110"/>
      <c r="C322" s="117"/>
      <c r="D322" s="117"/>
    </row>
    <row r="323" spans="1:4" x14ac:dyDescent="0.3">
      <c r="A323" s="117"/>
      <c r="B323" s="110"/>
      <c r="C323" s="117"/>
      <c r="D323" s="117"/>
    </row>
    <row r="324" spans="1:4" x14ac:dyDescent="0.3">
      <c r="A324" s="117"/>
      <c r="B324" s="110"/>
      <c r="C324" s="117"/>
      <c r="D324" s="117"/>
    </row>
    <row r="325" spans="1:4" x14ac:dyDescent="0.3">
      <c r="A325" s="117"/>
      <c r="B325" s="110"/>
      <c r="C325" s="117"/>
      <c r="D325" s="117"/>
    </row>
    <row r="326" spans="1:4" x14ac:dyDescent="0.3">
      <c r="A326" s="117"/>
      <c r="B326" s="110"/>
      <c r="C326" s="117"/>
      <c r="D326" s="117"/>
    </row>
    <row r="327" spans="1:4" x14ac:dyDescent="0.3">
      <c r="A327" s="117"/>
      <c r="B327" s="110"/>
      <c r="C327" s="117"/>
      <c r="D327" s="117"/>
    </row>
    <row r="328" spans="1:4" x14ac:dyDescent="0.3">
      <c r="A328" s="117"/>
      <c r="B328" s="110"/>
      <c r="C328" s="117"/>
      <c r="D328" s="117"/>
    </row>
    <row r="329" spans="1:4" x14ac:dyDescent="0.3">
      <c r="A329" s="117"/>
      <c r="B329" s="110"/>
      <c r="C329" s="117"/>
      <c r="D329" s="117"/>
    </row>
    <row r="330" spans="1:4" x14ac:dyDescent="0.3">
      <c r="A330" s="117"/>
      <c r="B330" s="110"/>
      <c r="C330" s="117"/>
      <c r="D330" s="117"/>
    </row>
    <row r="331" spans="1:4" x14ac:dyDescent="0.3">
      <c r="A331" s="117"/>
      <c r="B331" s="110"/>
      <c r="C331" s="117"/>
      <c r="D331" s="117"/>
    </row>
    <row r="332" spans="1:4" x14ac:dyDescent="0.3">
      <c r="A332" s="117"/>
      <c r="B332" s="110"/>
      <c r="C332" s="117"/>
      <c r="D332" s="117"/>
    </row>
    <row r="333" spans="1:4" x14ac:dyDescent="0.3">
      <c r="A333" s="117"/>
      <c r="B333" s="110"/>
      <c r="C333" s="117"/>
      <c r="D333" s="117"/>
    </row>
    <row r="334" spans="1:4" x14ac:dyDescent="0.3">
      <c r="A334" s="117"/>
      <c r="B334" s="110"/>
      <c r="C334" s="117"/>
      <c r="D334" s="117"/>
    </row>
    <row r="335" spans="1:4" x14ac:dyDescent="0.3">
      <c r="A335" s="117"/>
      <c r="B335" s="110"/>
      <c r="C335" s="117"/>
      <c r="D335" s="117"/>
    </row>
    <row r="336" spans="1:4" x14ac:dyDescent="0.3">
      <c r="A336" s="117"/>
      <c r="B336" s="110"/>
      <c r="C336" s="117"/>
      <c r="D336" s="117"/>
    </row>
    <row r="337" spans="1:4" x14ac:dyDescent="0.3">
      <c r="A337" s="117"/>
      <c r="B337" s="110"/>
      <c r="C337" s="117"/>
      <c r="D337" s="117"/>
    </row>
    <row r="338" spans="1:4" x14ac:dyDescent="0.3">
      <c r="A338" s="117"/>
      <c r="B338" s="110"/>
      <c r="C338" s="117"/>
      <c r="D338" s="117"/>
    </row>
    <row r="339" spans="1:4" x14ac:dyDescent="0.3">
      <c r="A339" s="117"/>
      <c r="B339" s="110"/>
      <c r="C339" s="117"/>
      <c r="D339" s="117"/>
    </row>
    <row r="340" spans="1:4" x14ac:dyDescent="0.3">
      <c r="A340" s="117"/>
      <c r="B340" s="110"/>
      <c r="C340" s="117"/>
      <c r="D340" s="117"/>
    </row>
    <row r="341" spans="1:4" x14ac:dyDescent="0.3">
      <c r="A341" s="117"/>
      <c r="B341" s="110"/>
      <c r="C341" s="117"/>
      <c r="D341" s="117"/>
    </row>
    <row r="342" spans="1:4" x14ac:dyDescent="0.3">
      <c r="A342" s="117"/>
      <c r="B342" s="110"/>
      <c r="C342" s="117"/>
      <c r="D342" s="117"/>
    </row>
    <row r="343" spans="1:4" x14ac:dyDescent="0.3">
      <c r="A343" s="117"/>
      <c r="B343" s="110"/>
      <c r="C343" s="117"/>
      <c r="D343" s="117"/>
    </row>
    <row r="344" spans="1:4" x14ac:dyDescent="0.3">
      <c r="A344" s="117"/>
      <c r="B344" s="110"/>
      <c r="C344" s="117"/>
      <c r="D344" s="117"/>
    </row>
    <row r="345" spans="1:4" x14ac:dyDescent="0.3">
      <c r="A345" s="117"/>
      <c r="B345" s="110"/>
      <c r="C345" s="117"/>
      <c r="D345" s="117"/>
    </row>
    <row r="346" spans="1:4" x14ac:dyDescent="0.3">
      <c r="A346" s="117"/>
      <c r="B346" s="110"/>
      <c r="C346" s="117"/>
      <c r="D346" s="117"/>
    </row>
    <row r="347" spans="1:4" x14ac:dyDescent="0.3">
      <c r="A347" s="117"/>
      <c r="B347" s="110"/>
      <c r="C347" s="117"/>
      <c r="D347" s="117"/>
    </row>
    <row r="348" spans="1:4" x14ac:dyDescent="0.3">
      <c r="A348" s="117"/>
      <c r="B348" s="110"/>
      <c r="C348" s="117"/>
      <c r="D348" s="117"/>
    </row>
    <row r="349" spans="1:4" x14ac:dyDescent="0.3">
      <c r="A349" s="117"/>
      <c r="B349" s="110"/>
      <c r="C349" s="117"/>
      <c r="D349" s="117"/>
    </row>
    <row r="350" spans="1:4" x14ac:dyDescent="0.3">
      <c r="A350" s="117"/>
      <c r="B350" s="110"/>
      <c r="C350" s="117"/>
      <c r="D350" s="117"/>
    </row>
    <row r="351" spans="1:4" x14ac:dyDescent="0.3">
      <c r="A351" s="117"/>
      <c r="B351" s="110"/>
      <c r="C351" s="117"/>
      <c r="D351" s="117"/>
    </row>
    <row r="352" spans="1:4" x14ac:dyDescent="0.3">
      <c r="A352" s="117"/>
      <c r="B352" s="110"/>
      <c r="C352" s="117"/>
      <c r="D352" s="117"/>
    </row>
    <row r="353" spans="1:4" x14ac:dyDescent="0.3">
      <c r="A353" s="117"/>
      <c r="B353" s="110"/>
      <c r="C353" s="117"/>
      <c r="D353" s="117"/>
    </row>
    <row r="354" spans="1:4" x14ac:dyDescent="0.3">
      <c r="A354" s="117"/>
      <c r="B354" s="110"/>
      <c r="C354" s="117"/>
      <c r="D354" s="117"/>
    </row>
    <row r="355" spans="1:4" x14ac:dyDescent="0.3">
      <c r="A355" s="117"/>
      <c r="B355" s="110"/>
      <c r="C355" s="117"/>
      <c r="D355" s="117"/>
    </row>
    <row r="356" spans="1:4" x14ac:dyDescent="0.3">
      <c r="A356" s="117"/>
      <c r="B356" s="110"/>
      <c r="C356" s="117"/>
      <c r="D356" s="117"/>
    </row>
    <row r="357" spans="1:4" x14ac:dyDescent="0.3">
      <c r="A357" s="117"/>
      <c r="B357" s="110"/>
      <c r="C357" s="117"/>
      <c r="D357" s="117"/>
    </row>
    <row r="358" spans="1:4" x14ac:dyDescent="0.3">
      <c r="A358" s="117"/>
      <c r="B358" s="110"/>
      <c r="C358" s="117"/>
      <c r="D358" s="117"/>
    </row>
    <row r="359" spans="1:4" x14ac:dyDescent="0.3">
      <c r="A359" s="117"/>
      <c r="B359" s="110"/>
      <c r="C359" s="117"/>
      <c r="D359" s="117"/>
    </row>
    <row r="360" spans="1:4" x14ac:dyDescent="0.3">
      <c r="A360" s="117"/>
      <c r="B360" s="110"/>
      <c r="C360" s="117"/>
      <c r="D360" s="117"/>
    </row>
    <row r="361" spans="1:4" x14ac:dyDescent="0.3">
      <c r="A361" s="117"/>
      <c r="B361" s="110"/>
      <c r="C361" s="117"/>
      <c r="D361" s="117"/>
    </row>
    <row r="362" spans="1:4" x14ac:dyDescent="0.3">
      <c r="A362" s="117"/>
      <c r="B362" s="110"/>
      <c r="C362" s="117"/>
      <c r="D362" s="117"/>
    </row>
    <row r="363" spans="1:4" x14ac:dyDescent="0.3">
      <c r="A363" s="117"/>
      <c r="B363" s="110"/>
      <c r="C363" s="117"/>
      <c r="D363" s="117"/>
    </row>
    <row r="364" spans="1:4" x14ac:dyDescent="0.3">
      <c r="A364" s="117"/>
      <c r="B364" s="110"/>
      <c r="C364" s="117"/>
      <c r="D364" s="117"/>
    </row>
    <row r="365" spans="1:4" x14ac:dyDescent="0.3">
      <c r="A365" s="117"/>
      <c r="B365" s="110"/>
      <c r="C365" s="117"/>
      <c r="D365" s="117"/>
    </row>
    <row r="366" spans="1:4" x14ac:dyDescent="0.3">
      <c r="A366" s="117"/>
      <c r="B366" s="110"/>
      <c r="C366" s="117"/>
      <c r="D366" s="117"/>
    </row>
    <row r="367" spans="1:4" x14ac:dyDescent="0.3">
      <c r="A367" s="117"/>
      <c r="B367" s="110"/>
      <c r="C367" s="117"/>
      <c r="D367" s="117"/>
    </row>
    <row r="368" spans="1:4" x14ac:dyDescent="0.3">
      <c r="A368" s="117"/>
      <c r="B368" s="110"/>
      <c r="C368" s="117"/>
      <c r="D368" s="117"/>
    </row>
    <row r="369" spans="1:4" x14ac:dyDescent="0.3">
      <c r="A369" s="117"/>
      <c r="B369" s="110"/>
      <c r="C369" s="117"/>
      <c r="D369" s="117"/>
    </row>
    <row r="370" spans="1:4" x14ac:dyDescent="0.3">
      <c r="A370" s="117"/>
      <c r="B370" s="110"/>
      <c r="C370" s="117"/>
      <c r="D370" s="117"/>
    </row>
    <row r="371" spans="1:4" x14ac:dyDescent="0.3">
      <c r="A371" s="117"/>
      <c r="B371" s="110"/>
      <c r="C371" s="117"/>
      <c r="D371" s="117"/>
    </row>
    <row r="372" spans="1:4" x14ac:dyDescent="0.3">
      <c r="A372" s="117"/>
      <c r="B372" s="110"/>
      <c r="C372" s="117"/>
      <c r="D372" s="117"/>
    </row>
    <row r="373" spans="1:4" x14ac:dyDescent="0.3">
      <c r="A373" s="117"/>
      <c r="B373" s="110"/>
      <c r="C373" s="117"/>
      <c r="D373" s="117"/>
    </row>
    <row r="374" spans="1:4" x14ac:dyDescent="0.3">
      <c r="A374" s="117"/>
      <c r="B374" s="110"/>
      <c r="C374" s="117"/>
      <c r="D374" s="117"/>
    </row>
    <row r="375" spans="1:4" x14ac:dyDescent="0.3">
      <c r="A375" s="117"/>
      <c r="B375" s="110"/>
      <c r="C375" s="117"/>
      <c r="D375" s="117"/>
    </row>
    <row r="376" spans="1:4" x14ac:dyDescent="0.3">
      <c r="A376" s="117"/>
      <c r="B376" s="110"/>
      <c r="C376" s="117"/>
      <c r="D376" s="117"/>
    </row>
    <row r="377" spans="1:4" x14ac:dyDescent="0.3">
      <c r="A377" s="117"/>
      <c r="B377" s="110"/>
      <c r="C377" s="117"/>
      <c r="D377" s="117"/>
    </row>
    <row r="378" spans="1:4" x14ac:dyDescent="0.3">
      <c r="A378" s="117"/>
      <c r="B378" s="110"/>
      <c r="C378" s="117"/>
      <c r="D378" s="117"/>
    </row>
    <row r="379" spans="1:4" x14ac:dyDescent="0.3">
      <c r="A379" s="117"/>
      <c r="B379" s="110"/>
      <c r="C379" s="117"/>
      <c r="D379" s="117"/>
    </row>
    <row r="380" spans="1:4" x14ac:dyDescent="0.3">
      <c r="A380" s="117"/>
      <c r="B380" s="110"/>
      <c r="C380" s="117"/>
      <c r="D380" s="117"/>
    </row>
    <row r="381" spans="1:4" x14ac:dyDescent="0.3">
      <c r="A381" s="117"/>
      <c r="B381" s="110"/>
      <c r="C381" s="117"/>
      <c r="D381" s="117"/>
    </row>
    <row r="382" spans="1:4" x14ac:dyDescent="0.3">
      <c r="A382" s="117"/>
      <c r="B382" s="110"/>
      <c r="C382" s="117"/>
      <c r="D382" s="117"/>
    </row>
    <row r="383" spans="1:4" x14ac:dyDescent="0.3">
      <c r="A383" s="117"/>
      <c r="B383" s="110"/>
      <c r="C383" s="117"/>
      <c r="D383" s="117"/>
    </row>
    <row r="384" spans="1:4" x14ac:dyDescent="0.3">
      <c r="A384" s="117"/>
      <c r="B384" s="110"/>
      <c r="C384" s="117"/>
      <c r="D384" s="117"/>
    </row>
    <row r="385" spans="1:4" x14ac:dyDescent="0.3">
      <c r="A385" s="117"/>
      <c r="B385" s="110"/>
      <c r="C385" s="117"/>
      <c r="D385" s="117"/>
    </row>
    <row r="386" spans="1:4" x14ac:dyDescent="0.3">
      <c r="A386" s="117"/>
      <c r="B386" s="110"/>
      <c r="C386" s="117"/>
      <c r="D386" s="117"/>
    </row>
    <row r="387" spans="1:4" x14ac:dyDescent="0.3">
      <c r="A387" s="117"/>
      <c r="B387" s="110"/>
      <c r="C387" s="117"/>
      <c r="D387" s="117"/>
    </row>
    <row r="388" spans="1:4" x14ac:dyDescent="0.3">
      <c r="A388" s="117"/>
      <c r="B388" s="110"/>
      <c r="C388" s="117"/>
      <c r="D388" s="117"/>
    </row>
    <row r="389" spans="1:4" x14ac:dyDescent="0.3">
      <c r="A389" s="117"/>
      <c r="B389" s="110"/>
      <c r="C389" s="117"/>
      <c r="D389" s="117"/>
    </row>
    <row r="390" spans="1:4" x14ac:dyDescent="0.3">
      <c r="A390" s="117"/>
      <c r="B390" s="110"/>
      <c r="C390" s="117"/>
      <c r="D390" s="117"/>
    </row>
    <row r="391" spans="1:4" x14ac:dyDescent="0.3">
      <c r="A391" s="117"/>
      <c r="B391" s="110"/>
      <c r="C391" s="117"/>
      <c r="D391" s="117"/>
    </row>
    <row r="392" spans="1:4" x14ac:dyDescent="0.3">
      <c r="A392" s="117"/>
      <c r="B392" s="110"/>
      <c r="C392" s="117"/>
      <c r="D392" s="117"/>
    </row>
    <row r="393" spans="1:4" x14ac:dyDescent="0.3">
      <c r="A393" s="117"/>
      <c r="B393" s="110"/>
      <c r="C393" s="117"/>
      <c r="D393" s="117"/>
    </row>
    <row r="394" spans="1:4" x14ac:dyDescent="0.3">
      <c r="A394" s="117"/>
      <c r="B394" s="110"/>
      <c r="C394" s="117"/>
      <c r="D394" s="117"/>
    </row>
    <row r="395" spans="1:4" x14ac:dyDescent="0.3">
      <c r="A395" s="117"/>
      <c r="B395" s="110"/>
      <c r="C395" s="117"/>
      <c r="D395" s="117"/>
    </row>
    <row r="396" spans="1:4" x14ac:dyDescent="0.3">
      <c r="A396" s="117"/>
      <c r="B396" s="110"/>
      <c r="C396" s="117"/>
      <c r="D396" s="117"/>
    </row>
    <row r="397" spans="1:4" x14ac:dyDescent="0.3">
      <c r="A397" s="117"/>
      <c r="B397" s="110"/>
      <c r="C397" s="117"/>
      <c r="D397" s="117"/>
    </row>
    <row r="398" spans="1:4" x14ac:dyDescent="0.3">
      <c r="A398" s="117"/>
      <c r="B398" s="110"/>
      <c r="C398" s="117"/>
      <c r="D398" s="117"/>
    </row>
    <row r="399" spans="1:4" x14ac:dyDescent="0.3">
      <c r="A399" s="117"/>
      <c r="B399" s="110"/>
      <c r="C399" s="117"/>
      <c r="D399" s="117"/>
    </row>
    <row r="400" spans="1:4" x14ac:dyDescent="0.3">
      <c r="A400" s="117"/>
      <c r="B400" s="110"/>
      <c r="C400" s="117"/>
      <c r="D400" s="117"/>
    </row>
    <row r="401" spans="1:4" x14ac:dyDescent="0.3">
      <c r="A401" s="117"/>
      <c r="B401" s="110"/>
      <c r="C401" s="117"/>
      <c r="D401" s="117"/>
    </row>
    <row r="402" spans="1:4" x14ac:dyDescent="0.3">
      <c r="A402" s="117"/>
      <c r="B402" s="110"/>
      <c r="C402" s="117"/>
      <c r="D402" s="117"/>
    </row>
    <row r="403" spans="1:4" x14ac:dyDescent="0.3">
      <c r="A403" s="117"/>
      <c r="B403" s="110"/>
      <c r="C403" s="117"/>
      <c r="D403" s="117"/>
    </row>
    <row r="404" spans="1:4" x14ac:dyDescent="0.3">
      <c r="A404" s="117"/>
      <c r="B404" s="110"/>
      <c r="C404" s="117"/>
      <c r="D404" s="117"/>
    </row>
    <row r="405" spans="1:4" x14ac:dyDescent="0.3">
      <c r="A405" s="117"/>
      <c r="B405" s="110"/>
      <c r="C405" s="117"/>
      <c r="D405" s="117"/>
    </row>
    <row r="406" spans="1:4" x14ac:dyDescent="0.3">
      <c r="A406" s="117"/>
      <c r="B406" s="110"/>
      <c r="C406" s="117"/>
      <c r="D406" s="117"/>
    </row>
    <row r="407" spans="1:4" x14ac:dyDescent="0.3">
      <c r="A407" s="117"/>
      <c r="B407" s="110"/>
      <c r="C407" s="117"/>
      <c r="D407" s="117"/>
    </row>
    <row r="408" spans="1:4" x14ac:dyDescent="0.3">
      <c r="A408" s="117"/>
      <c r="B408" s="110"/>
      <c r="C408" s="117"/>
      <c r="D408" s="117"/>
    </row>
    <row r="409" spans="1:4" x14ac:dyDescent="0.3">
      <c r="A409" s="117"/>
      <c r="B409" s="110"/>
      <c r="C409" s="117"/>
      <c r="D409" s="117"/>
    </row>
    <row r="410" spans="1:4" x14ac:dyDescent="0.3">
      <c r="A410" s="117"/>
      <c r="B410" s="110"/>
      <c r="C410" s="117"/>
      <c r="D410" s="117"/>
    </row>
    <row r="411" spans="1:4" x14ac:dyDescent="0.3">
      <c r="A411" s="117"/>
      <c r="B411" s="110"/>
      <c r="C411" s="117"/>
      <c r="D411" s="117"/>
    </row>
    <row r="412" spans="1:4" x14ac:dyDescent="0.3">
      <c r="A412" s="117"/>
      <c r="B412" s="110"/>
      <c r="C412" s="117"/>
      <c r="D412" s="117"/>
    </row>
    <row r="413" spans="1:4" x14ac:dyDescent="0.3">
      <c r="A413" s="117"/>
      <c r="B413" s="110"/>
      <c r="C413" s="117"/>
      <c r="D413" s="117"/>
    </row>
    <row r="414" spans="1:4" x14ac:dyDescent="0.3">
      <c r="A414" s="117"/>
      <c r="B414" s="110"/>
      <c r="C414" s="117"/>
      <c r="D414" s="117"/>
    </row>
    <row r="415" spans="1:4" x14ac:dyDescent="0.3">
      <c r="A415" s="117"/>
      <c r="B415" s="110"/>
      <c r="C415" s="117"/>
      <c r="D415" s="117"/>
    </row>
    <row r="416" spans="1:4" x14ac:dyDescent="0.3">
      <c r="A416" s="117"/>
      <c r="B416" s="110"/>
      <c r="C416" s="117"/>
      <c r="D416" s="117"/>
    </row>
    <row r="417" spans="1:4" x14ac:dyDescent="0.3">
      <c r="A417" s="117"/>
      <c r="B417" s="110"/>
      <c r="C417" s="117"/>
      <c r="D417" s="117"/>
    </row>
    <row r="418" spans="1:4" x14ac:dyDescent="0.3">
      <c r="A418" s="117"/>
      <c r="B418" s="110"/>
      <c r="C418" s="117"/>
      <c r="D418" s="117"/>
    </row>
    <row r="419" spans="1:4" x14ac:dyDescent="0.3">
      <c r="A419" s="117"/>
      <c r="B419" s="110"/>
      <c r="C419" s="117"/>
      <c r="D419" s="117"/>
    </row>
    <row r="420" spans="1:4" x14ac:dyDescent="0.3">
      <c r="A420" s="117"/>
      <c r="B420" s="110"/>
      <c r="C420" s="117"/>
      <c r="D420" s="117"/>
    </row>
    <row r="421" spans="1:4" x14ac:dyDescent="0.3">
      <c r="A421" s="117"/>
      <c r="B421" s="110"/>
      <c r="C421" s="117"/>
      <c r="D421" s="117"/>
    </row>
    <row r="422" spans="1:4" x14ac:dyDescent="0.3">
      <c r="A422" s="117"/>
      <c r="B422" s="110"/>
      <c r="C422" s="117"/>
      <c r="D422" s="117"/>
    </row>
    <row r="423" spans="1:4" x14ac:dyDescent="0.3">
      <c r="A423" s="117"/>
      <c r="B423" s="110"/>
      <c r="C423" s="117"/>
      <c r="D423" s="117"/>
    </row>
    <row r="424" spans="1:4" x14ac:dyDescent="0.3">
      <c r="A424" s="117"/>
      <c r="B424" s="110"/>
      <c r="C424" s="117"/>
      <c r="D424" s="117"/>
    </row>
    <row r="425" spans="1:4" x14ac:dyDescent="0.3">
      <c r="A425" s="117"/>
      <c r="B425" s="110"/>
      <c r="C425" s="117"/>
      <c r="D425" s="117"/>
    </row>
    <row r="426" spans="1:4" x14ac:dyDescent="0.3">
      <c r="A426" s="117"/>
      <c r="B426" s="110"/>
      <c r="C426" s="117"/>
      <c r="D426" s="117"/>
    </row>
    <row r="427" spans="1:4" x14ac:dyDescent="0.3">
      <c r="A427" s="117"/>
      <c r="B427" s="110"/>
      <c r="C427" s="117"/>
      <c r="D427" s="117"/>
    </row>
    <row r="428" spans="1:4" x14ac:dyDescent="0.3">
      <c r="A428" s="117"/>
      <c r="B428" s="110"/>
      <c r="C428" s="117"/>
      <c r="D428" s="117"/>
    </row>
    <row r="429" spans="1:4" x14ac:dyDescent="0.3">
      <c r="A429" s="117"/>
      <c r="B429" s="110"/>
      <c r="C429" s="117"/>
      <c r="D429" s="117"/>
    </row>
    <row r="430" spans="1:4" x14ac:dyDescent="0.3">
      <c r="A430" s="117"/>
      <c r="B430" s="110"/>
      <c r="C430" s="117"/>
      <c r="D430" s="117"/>
    </row>
    <row r="431" spans="1:4" x14ac:dyDescent="0.3">
      <c r="A431" s="117"/>
      <c r="B431" s="110"/>
      <c r="C431" s="117"/>
      <c r="D431" s="117"/>
    </row>
    <row r="432" spans="1:4" x14ac:dyDescent="0.3">
      <c r="A432" s="117"/>
      <c r="B432" s="110"/>
      <c r="C432" s="117"/>
      <c r="D432" s="117"/>
    </row>
    <row r="433" spans="1:4" x14ac:dyDescent="0.3">
      <c r="A433" s="117"/>
      <c r="B433" s="110"/>
      <c r="C433" s="117"/>
      <c r="D433" s="117"/>
    </row>
    <row r="434" spans="1:4" x14ac:dyDescent="0.3">
      <c r="A434" s="117"/>
      <c r="B434" s="110"/>
      <c r="C434" s="117"/>
      <c r="D434" s="117"/>
    </row>
    <row r="435" spans="1:4" x14ac:dyDescent="0.3">
      <c r="A435" s="117"/>
      <c r="B435" s="110"/>
      <c r="C435" s="117"/>
      <c r="D435" s="117"/>
    </row>
    <row r="436" spans="1:4" x14ac:dyDescent="0.3">
      <c r="A436" s="117"/>
      <c r="B436" s="110"/>
      <c r="C436" s="117"/>
      <c r="D436" s="117"/>
    </row>
    <row r="437" spans="1:4" x14ac:dyDescent="0.3">
      <c r="A437" s="117"/>
      <c r="B437" s="110"/>
      <c r="C437" s="117"/>
      <c r="D437" s="117"/>
    </row>
    <row r="438" spans="1:4" x14ac:dyDescent="0.3">
      <c r="A438" s="117"/>
      <c r="B438" s="110"/>
      <c r="C438" s="117"/>
      <c r="D438" s="117"/>
    </row>
    <row r="439" spans="1:4" x14ac:dyDescent="0.3">
      <c r="A439" s="117"/>
      <c r="B439" s="110"/>
      <c r="C439" s="117"/>
      <c r="D439" s="117"/>
    </row>
    <row r="440" spans="1:4" x14ac:dyDescent="0.3">
      <c r="A440" s="117"/>
      <c r="B440" s="110"/>
      <c r="C440" s="117"/>
      <c r="D440" s="117"/>
    </row>
    <row r="441" spans="1:4" x14ac:dyDescent="0.3">
      <c r="A441" s="117"/>
      <c r="B441" s="110"/>
      <c r="C441" s="117"/>
      <c r="D441" s="117"/>
    </row>
    <row r="442" spans="1:4" x14ac:dyDescent="0.3">
      <c r="A442" s="117"/>
      <c r="B442" s="110"/>
      <c r="C442" s="117"/>
      <c r="D442" s="117"/>
    </row>
    <row r="443" spans="1:4" x14ac:dyDescent="0.3">
      <c r="A443" s="117"/>
      <c r="B443" s="110"/>
      <c r="C443" s="117"/>
      <c r="D443" s="117"/>
    </row>
    <row r="444" spans="1:4" x14ac:dyDescent="0.3">
      <c r="A444" s="117"/>
      <c r="B444" s="110"/>
      <c r="C444" s="117"/>
      <c r="D444" s="117"/>
    </row>
    <row r="445" spans="1:4" x14ac:dyDescent="0.3">
      <c r="A445" s="117"/>
      <c r="B445" s="110"/>
      <c r="C445" s="117"/>
      <c r="D445" s="117"/>
    </row>
    <row r="446" spans="1:4" x14ac:dyDescent="0.3">
      <c r="A446" s="117"/>
      <c r="B446" s="110"/>
      <c r="C446" s="117"/>
      <c r="D446" s="117"/>
    </row>
    <row r="447" spans="1:4" x14ac:dyDescent="0.3">
      <c r="A447" s="117"/>
      <c r="B447" s="110"/>
      <c r="C447" s="117"/>
      <c r="D447" s="117"/>
    </row>
    <row r="448" spans="1:4" x14ac:dyDescent="0.3">
      <c r="A448" s="117"/>
      <c r="B448" s="110"/>
      <c r="C448" s="117"/>
      <c r="D448" s="117"/>
    </row>
    <row r="449" spans="1:4" x14ac:dyDescent="0.3">
      <c r="A449" s="117"/>
      <c r="B449" s="110"/>
      <c r="C449" s="117"/>
      <c r="D449" s="117"/>
    </row>
    <row r="450" spans="1:4" x14ac:dyDescent="0.3">
      <c r="A450" s="117"/>
      <c r="B450" s="110"/>
      <c r="C450" s="117"/>
      <c r="D450" s="117"/>
    </row>
    <row r="451" spans="1:4" x14ac:dyDescent="0.3">
      <c r="A451" s="117"/>
      <c r="B451" s="110"/>
      <c r="C451" s="117"/>
      <c r="D451" s="117"/>
    </row>
    <row r="452" spans="1:4" x14ac:dyDescent="0.3">
      <c r="A452" s="117"/>
      <c r="B452" s="110"/>
      <c r="C452" s="117"/>
      <c r="D452" s="117"/>
    </row>
    <row r="453" spans="1:4" x14ac:dyDescent="0.3">
      <c r="A453" s="117"/>
      <c r="B453" s="110"/>
      <c r="C453" s="117"/>
      <c r="D453" s="117"/>
    </row>
    <row r="454" spans="1:4" x14ac:dyDescent="0.3">
      <c r="A454" s="117"/>
      <c r="B454" s="110"/>
      <c r="C454" s="117"/>
      <c r="D454" s="117"/>
    </row>
    <row r="455" spans="1:4" x14ac:dyDescent="0.3">
      <c r="A455" s="117"/>
      <c r="B455" s="110"/>
      <c r="C455" s="117"/>
      <c r="D455" s="117"/>
    </row>
    <row r="456" spans="1:4" x14ac:dyDescent="0.3">
      <c r="A456" s="117"/>
      <c r="B456" s="110"/>
      <c r="C456" s="117"/>
      <c r="D456" s="117"/>
    </row>
    <row r="457" spans="1:4" x14ac:dyDescent="0.3">
      <c r="A457" s="117"/>
      <c r="B457" s="110"/>
      <c r="C457" s="117"/>
      <c r="D457" s="117"/>
    </row>
    <row r="458" spans="1:4" x14ac:dyDescent="0.3">
      <c r="A458" s="117"/>
      <c r="B458" s="110"/>
      <c r="C458" s="117"/>
      <c r="D458" s="117"/>
    </row>
    <row r="459" spans="1:4" x14ac:dyDescent="0.3">
      <c r="A459" s="117"/>
      <c r="B459" s="110"/>
      <c r="C459" s="117"/>
      <c r="D459" s="117"/>
    </row>
    <row r="460" spans="1:4" x14ac:dyDescent="0.3">
      <c r="A460" s="117"/>
      <c r="B460" s="110"/>
      <c r="C460" s="117"/>
      <c r="D460" s="117"/>
    </row>
    <row r="461" spans="1:4" x14ac:dyDescent="0.3">
      <c r="A461" s="117"/>
      <c r="B461" s="110"/>
      <c r="C461" s="117"/>
      <c r="D461" s="117"/>
    </row>
    <row r="462" spans="1:4" x14ac:dyDescent="0.3">
      <c r="A462" s="117"/>
      <c r="B462" s="110"/>
      <c r="C462" s="117"/>
      <c r="D462" s="117"/>
    </row>
    <row r="463" spans="1:4" x14ac:dyDescent="0.3">
      <c r="A463" s="117"/>
      <c r="B463" s="110"/>
      <c r="C463" s="117"/>
      <c r="D463" s="117"/>
    </row>
    <row r="464" spans="1:4" x14ac:dyDescent="0.3">
      <c r="A464" s="117"/>
      <c r="B464" s="110"/>
      <c r="C464" s="117"/>
      <c r="D464" s="117"/>
    </row>
    <row r="465" spans="1:4" x14ac:dyDescent="0.3">
      <c r="A465" s="117"/>
      <c r="B465" s="110"/>
      <c r="C465" s="117"/>
      <c r="D465" s="117"/>
    </row>
    <row r="466" spans="1:4" x14ac:dyDescent="0.3">
      <c r="A466" s="117"/>
      <c r="B466" s="110"/>
      <c r="C466" s="117"/>
      <c r="D466" s="117"/>
    </row>
    <row r="467" spans="1:4" x14ac:dyDescent="0.3">
      <c r="A467" s="117"/>
      <c r="B467" s="110"/>
      <c r="C467" s="117"/>
      <c r="D467" s="117"/>
    </row>
    <row r="468" spans="1:4" x14ac:dyDescent="0.3">
      <c r="A468" s="117"/>
      <c r="B468" s="110"/>
      <c r="C468" s="117"/>
      <c r="D468" s="117"/>
    </row>
    <row r="469" spans="1:4" x14ac:dyDescent="0.3">
      <c r="A469" s="117"/>
      <c r="B469" s="110"/>
      <c r="C469" s="117"/>
      <c r="D469" s="117"/>
    </row>
    <row r="470" spans="1:4" x14ac:dyDescent="0.3">
      <c r="A470" s="117"/>
      <c r="B470" s="110"/>
      <c r="C470" s="117"/>
      <c r="D470" s="117"/>
    </row>
    <row r="471" spans="1:4" x14ac:dyDescent="0.3">
      <c r="A471" s="117"/>
      <c r="B471" s="110"/>
      <c r="C471" s="117"/>
      <c r="D471" s="117"/>
    </row>
    <row r="472" spans="1:4" x14ac:dyDescent="0.3">
      <c r="A472" s="117"/>
      <c r="B472" s="110"/>
      <c r="C472" s="117"/>
      <c r="D472" s="117"/>
    </row>
    <row r="473" spans="1:4" x14ac:dyDescent="0.3">
      <c r="A473" s="117"/>
      <c r="B473" s="110"/>
      <c r="C473" s="117"/>
      <c r="D473" s="117"/>
    </row>
    <row r="474" spans="1:4" x14ac:dyDescent="0.3">
      <c r="A474" s="117"/>
      <c r="B474" s="110"/>
      <c r="C474" s="117"/>
      <c r="D474" s="117"/>
    </row>
    <row r="475" spans="1:4" x14ac:dyDescent="0.3">
      <c r="A475" s="117"/>
      <c r="B475" s="110"/>
      <c r="C475" s="117"/>
      <c r="D475" s="117"/>
    </row>
    <row r="476" spans="1:4" x14ac:dyDescent="0.3">
      <c r="A476" s="117"/>
      <c r="B476" s="110"/>
      <c r="C476" s="117"/>
      <c r="D476" s="117"/>
    </row>
    <row r="477" spans="1:4" x14ac:dyDescent="0.3">
      <c r="A477" s="117"/>
      <c r="B477" s="110"/>
      <c r="C477" s="117"/>
      <c r="D477" s="117"/>
    </row>
    <row r="478" spans="1:4" x14ac:dyDescent="0.3">
      <c r="A478" s="117"/>
      <c r="B478" s="110"/>
      <c r="C478" s="117"/>
      <c r="D478" s="117"/>
    </row>
    <row r="479" spans="1:4" x14ac:dyDescent="0.3">
      <c r="A479" s="117"/>
      <c r="B479" s="110"/>
      <c r="C479" s="117"/>
      <c r="D479" s="117"/>
    </row>
    <row r="480" spans="1:4" x14ac:dyDescent="0.3">
      <c r="A480" s="117"/>
      <c r="B480" s="110"/>
      <c r="C480" s="117"/>
      <c r="D480" s="117"/>
    </row>
    <row r="481" spans="1:4" x14ac:dyDescent="0.3">
      <c r="A481" s="117"/>
      <c r="B481" s="110"/>
      <c r="C481" s="117"/>
      <c r="D481" s="117"/>
    </row>
    <row r="482" spans="1:4" x14ac:dyDescent="0.3">
      <c r="A482" s="117"/>
      <c r="B482" s="110"/>
      <c r="C482" s="117"/>
      <c r="D482" s="117"/>
    </row>
    <row r="483" spans="1:4" x14ac:dyDescent="0.3">
      <c r="A483" s="117"/>
      <c r="B483" s="110"/>
      <c r="C483" s="117"/>
      <c r="D483" s="117"/>
    </row>
    <row r="484" spans="1:4" x14ac:dyDescent="0.3">
      <c r="A484" s="117"/>
      <c r="B484" s="110"/>
      <c r="C484" s="117"/>
      <c r="D484" s="117"/>
    </row>
    <row r="485" spans="1:4" x14ac:dyDescent="0.3">
      <c r="A485" s="117"/>
      <c r="B485" s="110"/>
      <c r="C485" s="117"/>
      <c r="D485" s="117"/>
    </row>
    <row r="486" spans="1:4" x14ac:dyDescent="0.3">
      <c r="A486" s="117"/>
      <c r="B486" s="110"/>
      <c r="C486" s="117"/>
      <c r="D486" s="117"/>
    </row>
    <row r="487" spans="1:4" x14ac:dyDescent="0.3">
      <c r="A487" s="117"/>
      <c r="B487" s="110"/>
      <c r="C487" s="117"/>
      <c r="D487" s="117"/>
    </row>
    <row r="488" spans="1:4" x14ac:dyDescent="0.3">
      <c r="A488" s="117"/>
      <c r="B488" s="110"/>
      <c r="C488" s="117"/>
      <c r="D488" s="117"/>
    </row>
    <row r="489" spans="1:4" x14ac:dyDescent="0.3">
      <c r="A489" s="117"/>
      <c r="B489" s="110"/>
      <c r="C489" s="117"/>
      <c r="D489" s="117"/>
    </row>
    <row r="490" spans="1:4" x14ac:dyDescent="0.3">
      <c r="A490" s="117"/>
      <c r="B490" s="110"/>
      <c r="C490" s="117"/>
      <c r="D490" s="117"/>
    </row>
    <row r="491" spans="1:4" x14ac:dyDescent="0.3">
      <c r="A491" s="117"/>
      <c r="B491" s="110"/>
      <c r="C491" s="117"/>
      <c r="D491" s="117"/>
    </row>
    <row r="492" spans="1:4" x14ac:dyDescent="0.3">
      <c r="A492" s="117"/>
      <c r="B492" s="110"/>
      <c r="C492" s="117"/>
      <c r="D492" s="117"/>
    </row>
    <row r="493" spans="1:4" x14ac:dyDescent="0.3">
      <c r="A493" s="117"/>
      <c r="B493" s="110"/>
      <c r="C493" s="117"/>
      <c r="D493" s="117"/>
    </row>
    <row r="494" spans="1:4" x14ac:dyDescent="0.3">
      <c r="A494" s="117"/>
      <c r="B494" s="110"/>
      <c r="C494" s="117"/>
      <c r="D494" s="117"/>
    </row>
    <row r="495" spans="1:4" x14ac:dyDescent="0.3">
      <c r="A495" s="117"/>
      <c r="B495" s="110"/>
      <c r="C495" s="117"/>
      <c r="D495" s="117"/>
    </row>
    <row r="496" spans="1:4" x14ac:dyDescent="0.3">
      <c r="A496" s="117"/>
      <c r="B496" s="110"/>
      <c r="C496" s="117"/>
      <c r="D496" s="117"/>
    </row>
    <row r="497" spans="1:4" x14ac:dyDescent="0.3">
      <c r="A497" s="117"/>
      <c r="B497" s="110"/>
      <c r="C497" s="117"/>
      <c r="D497" s="117"/>
    </row>
    <row r="498" spans="1:4" x14ac:dyDescent="0.3">
      <c r="A498" s="117"/>
      <c r="B498" s="110"/>
      <c r="C498" s="117"/>
      <c r="D498" s="117"/>
    </row>
    <row r="499" spans="1:4" x14ac:dyDescent="0.3">
      <c r="A499" s="117"/>
      <c r="B499" s="110"/>
      <c r="C499" s="117"/>
      <c r="D499" s="117"/>
    </row>
    <row r="500" spans="1:4" x14ac:dyDescent="0.3">
      <c r="A500" s="117"/>
      <c r="B500" s="110"/>
      <c r="C500" s="117"/>
      <c r="D500" s="117"/>
    </row>
    <row r="501" spans="1:4" x14ac:dyDescent="0.3">
      <c r="A501" s="117"/>
      <c r="B501" s="110"/>
      <c r="C501" s="117"/>
      <c r="D501" s="117"/>
    </row>
    <row r="502" spans="1:4" x14ac:dyDescent="0.3">
      <c r="A502" s="117"/>
      <c r="B502" s="110"/>
      <c r="C502" s="117"/>
      <c r="D502" s="117"/>
    </row>
    <row r="503" spans="1:4" x14ac:dyDescent="0.3">
      <c r="A503" s="117"/>
      <c r="B503" s="110"/>
      <c r="C503" s="117"/>
      <c r="D503" s="117"/>
    </row>
    <row r="504" spans="1:4" x14ac:dyDescent="0.3">
      <c r="A504" s="117"/>
      <c r="B504" s="110"/>
      <c r="C504" s="117"/>
      <c r="D504" s="117"/>
    </row>
    <row r="505" spans="1:4" x14ac:dyDescent="0.3">
      <c r="A505" s="117"/>
      <c r="B505" s="110"/>
      <c r="C505" s="117"/>
      <c r="D505" s="117"/>
    </row>
    <row r="506" spans="1:4" x14ac:dyDescent="0.3">
      <c r="A506" s="117"/>
      <c r="B506" s="110"/>
      <c r="C506" s="117"/>
      <c r="D506" s="117"/>
    </row>
    <row r="507" spans="1:4" x14ac:dyDescent="0.3">
      <c r="A507" s="117"/>
      <c r="B507" s="110"/>
      <c r="C507" s="117"/>
      <c r="D507" s="117"/>
    </row>
    <row r="508" spans="1:4" x14ac:dyDescent="0.3">
      <c r="A508" s="117"/>
      <c r="B508" s="110"/>
      <c r="C508" s="117"/>
      <c r="D508" s="117"/>
    </row>
    <row r="509" spans="1:4" x14ac:dyDescent="0.3">
      <c r="A509" s="117"/>
      <c r="B509" s="110"/>
      <c r="C509" s="117"/>
      <c r="D509" s="117"/>
    </row>
    <row r="510" spans="1:4" x14ac:dyDescent="0.3">
      <c r="A510" s="117"/>
      <c r="B510" s="110"/>
      <c r="C510" s="117"/>
      <c r="D510" s="117"/>
    </row>
    <row r="511" spans="1:4" x14ac:dyDescent="0.3">
      <c r="A511" s="117"/>
      <c r="B511" s="110"/>
      <c r="C511" s="117"/>
      <c r="D511" s="117"/>
    </row>
    <row r="512" spans="1:4" x14ac:dyDescent="0.3">
      <c r="A512" s="117"/>
      <c r="B512" s="110"/>
      <c r="C512" s="117"/>
      <c r="D512" s="117"/>
    </row>
    <row r="513" spans="1:4" x14ac:dyDescent="0.3">
      <c r="A513" s="117"/>
      <c r="B513" s="110"/>
      <c r="C513" s="117"/>
      <c r="D513" s="117"/>
    </row>
    <row r="514" spans="1:4" x14ac:dyDescent="0.3">
      <c r="A514" s="117"/>
      <c r="B514" s="110"/>
      <c r="C514" s="117"/>
      <c r="D514" s="117"/>
    </row>
    <row r="515" spans="1:4" x14ac:dyDescent="0.3">
      <c r="A515" s="117"/>
      <c r="B515" s="110"/>
      <c r="C515" s="117"/>
      <c r="D515" s="117"/>
    </row>
    <row r="516" spans="1:4" x14ac:dyDescent="0.3">
      <c r="A516" s="117"/>
      <c r="B516" s="110"/>
      <c r="C516" s="117"/>
      <c r="D516" s="117"/>
    </row>
    <row r="517" spans="1:4" x14ac:dyDescent="0.3">
      <c r="A517" s="117"/>
      <c r="B517" s="110"/>
      <c r="C517" s="117"/>
      <c r="D517" s="117"/>
    </row>
    <row r="518" spans="1:4" x14ac:dyDescent="0.3">
      <c r="A518" s="117"/>
      <c r="B518" s="110"/>
      <c r="C518" s="117"/>
      <c r="D518" s="117"/>
    </row>
    <row r="519" spans="1:4" x14ac:dyDescent="0.3">
      <c r="A519" s="117"/>
      <c r="B519" s="110"/>
      <c r="C519" s="117"/>
      <c r="D519" s="117"/>
    </row>
    <row r="520" spans="1:4" x14ac:dyDescent="0.3">
      <c r="A520" s="117"/>
      <c r="B520" s="110"/>
      <c r="C520" s="117"/>
      <c r="D520" s="117"/>
    </row>
    <row r="521" spans="1:4" x14ac:dyDescent="0.3">
      <c r="A521" s="117"/>
      <c r="B521" s="110"/>
      <c r="C521" s="117"/>
      <c r="D521" s="117"/>
    </row>
    <row r="522" spans="1:4" x14ac:dyDescent="0.3">
      <c r="A522" s="117"/>
      <c r="B522" s="110"/>
      <c r="C522" s="117"/>
      <c r="D522" s="117"/>
    </row>
    <row r="523" spans="1:4" x14ac:dyDescent="0.3">
      <c r="A523" s="117"/>
      <c r="B523" s="110"/>
      <c r="C523" s="117"/>
      <c r="D523" s="117"/>
    </row>
    <row r="524" spans="1:4" x14ac:dyDescent="0.3">
      <c r="A524" s="117"/>
      <c r="B524" s="110"/>
      <c r="C524" s="117"/>
      <c r="D524" s="117"/>
    </row>
    <row r="525" spans="1:4" x14ac:dyDescent="0.3">
      <c r="A525" s="117"/>
      <c r="B525" s="110"/>
      <c r="C525" s="117"/>
      <c r="D525" s="117"/>
    </row>
    <row r="526" spans="1:4" x14ac:dyDescent="0.3">
      <c r="A526" s="117"/>
      <c r="B526" s="110"/>
      <c r="C526" s="117"/>
      <c r="D526" s="117"/>
    </row>
    <row r="527" spans="1:4" x14ac:dyDescent="0.3">
      <c r="A527" s="117"/>
      <c r="B527" s="110"/>
      <c r="C527" s="117"/>
      <c r="D527" s="117"/>
    </row>
    <row r="528" spans="1:4" x14ac:dyDescent="0.3">
      <c r="A528" s="117"/>
      <c r="B528" s="110"/>
      <c r="C528" s="117"/>
      <c r="D528" s="117"/>
    </row>
    <row r="529" spans="1:4" x14ac:dyDescent="0.3">
      <c r="A529" s="117"/>
      <c r="B529" s="110"/>
      <c r="C529" s="117"/>
      <c r="D529" s="117"/>
    </row>
    <row r="530" spans="1:4" x14ac:dyDescent="0.3">
      <c r="A530" s="117"/>
      <c r="B530" s="110"/>
      <c r="C530" s="117"/>
      <c r="D530" s="117"/>
    </row>
    <row r="531" spans="1:4" x14ac:dyDescent="0.3">
      <c r="A531" s="117"/>
      <c r="B531" s="110"/>
      <c r="C531" s="117"/>
      <c r="D531" s="117"/>
    </row>
    <row r="532" spans="1:4" x14ac:dyDescent="0.3">
      <c r="A532" s="117"/>
      <c r="B532" s="110"/>
      <c r="C532" s="117"/>
      <c r="D532" s="117"/>
    </row>
    <row r="533" spans="1:4" x14ac:dyDescent="0.3">
      <c r="A533" s="117"/>
      <c r="B533" s="110"/>
      <c r="C533" s="117"/>
      <c r="D533" s="117"/>
    </row>
    <row r="534" spans="1:4" x14ac:dyDescent="0.3">
      <c r="A534" s="117"/>
      <c r="B534" s="110"/>
      <c r="C534" s="117"/>
      <c r="D534" s="117"/>
    </row>
    <row r="535" spans="1:4" x14ac:dyDescent="0.3">
      <c r="A535" s="117"/>
      <c r="B535" s="110"/>
      <c r="C535" s="117"/>
      <c r="D535" s="117"/>
    </row>
    <row r="536" spans="1:4" x14ac:dyDescent="0.3">
      <c r="A536" s="117"/>
      <c r="B536" s="110"/>
      <c r="C536" s="117"/>
      <c r="D536" s="117"/>
    </row>
    <row r="537" spans="1:4" x14ac:dyDescent="0.3">
      <c r="A537" s="117"/>
      <c r="B537" s="110"/>
      <c r="C537" s="117"/>
      <c r="D537" s="117"/>
    </row>
    <row r="538" spans="1:4" x14ac:dyDescent="0.3">
      <c r="A538" s="117"/>
      <c r="B538" s="110"/>
      <c r="C538" s="117"/>
      <c r="D538" s="117"/>
    </row>
    <row r="539" spans="1:4" x14ac:dyDescent="0.3">
      <c r="A539" s="117"/>
      <c r="B539" s="110"/>
      <c r="C539" s="117"/>
      <c r="D539" s="117"/>
    </row>
    <row r="540" spans="1:4" x14ac:dyDescent="0.3">
      <c r="A540" s="117"/>
      <c r="B540" s="110"/>
      <c r="C540" s="117"/>
      <c r="D540" s="117"/>
    </row>
    <row r="541" spans="1:4" x14ac:dyDescent="0.3">
      <c r="A541" s="117"/>
      <c r="B541" s="110"/>
      <c r="C541" s="117"/>
      <c r="D541" s="117"/>
    </row>
    <row r="542" spans="1:4" x14ac:dyDescent="0.3">
      <c r="A542" s="117"/>
      <c r="B542" s="110"/>
      <c r="C542" s="117"/>
      <c r="D542" s="117"/>
    </row>
    <row r="543" spans="1:4" x14ac:dyDescent="0.3">
      <c r="A543" s="117"/>
      <c r="B543" s="110"/>
      <c r="C543" s="117"/>
      <c r="D543" s="117"/>
    </row>
    <row r="544" spans="1:4" x14ac:dyDescent="0.3">
      <c r="A544" s="117"/>
      <c r="B544" s="110"/>
      <c r="C544" s="117"/>
      <c r="D544" s="117"/>
    </row>
    <row r="545" spans="1:4" x14ac:dyDescent="0.3">
      <c r="A545" s="117"/>
      <c r="B545" s="110"/>
      <c r="C545" s="117"/>
      <c r="D545" s="117"/>
    </row>
    <row r="546" spans="1:4" x14ac:dyDescent="0.3">
      <c r="A546" s="117"/>
      <c r="B546" s="110"/>
      <c r="C546" s="117"/>
      <c r="D546" s="117"/>
    </row>
    <row r="547" spans="1:4" x14ac:dyDescent="0.3">
      <c r="A547" s="117"/>
      <c r="B547" s="110"/>
      <c r="C547" s="117"/>
      <c r="D547" s="117"/>
    </row>
    <row r="548" spans="1:4" x14ac:dyDescent="0.3">
      <c r="A548" s="117"/>
      <c r="B548" s="110"/>
      <c r="C548" s="117"/>
      <c r="D548" s="117"/>
    </row>
    <row r="549" spans="1:4" x14ac:dyDescent="0.3">
      <c r="A549" s="117"/>
      <c r="B549" s="110"/>
      <c r="C549" s="117"/>
      <c r="D549" s="117"/>
    </row>
    <row r="550" spans="1:4" x14ac:dyDescent="0.3">
      <c r="A550" s="117"/>
      <c r="B550" s="110"/>
      <c r="C550" s="117"/>
      <c r="D550" s="117"/>
    </row>
    <row r="551" spans="1:4" x14ac:dyDescent="0.3">
      <c r="A551" s="117"/>
      <c r="B551" s="110"/>
      <c r="C551" s="117"/>
      <c r="D551" s="117"/>
    </row>
    <row r="552" spans="1:4" x14ac:dyDescent="0.3">
      <c r="A552" s="117"/>
      <c r="B552" s="110"/>
      <c r="C552" s="117"/>
      <c r="D552" s="117"/>
    </row>
    <row r="553" spans="1:4" x14ac:dyDescent="0.3">
      <c r="A553" s="117"/>
      <c r="B553" s="110"/>
      <c r="C553" s="117"/>
      <c r="D553" s="117"/>
    </row>
    <row r="554" spans="1:4" x14ac:dyDescent="0.3">
      <c r="A554" s="117"/>
      <c r="B554" s="110"/>
      <c r="C554" s="117"/>
      <c r="D554" s="117"/>
    </row>
    <row r="555" spans="1:4" x14ac:dyDescent="0.3">
      <c r="A555" s="117"/>
      <c r="B555" s="110"/>
      <c r="C555" s="117"/>
      <c r="D555" s="117"/>
    </row>
    <row r="556" spans="1:4" x14ac:dyDescent="0.3">
      <c r="A556" s="117"/>
      <c r="B556" s="110"/>
      <c r="C556" s="117"/>
      <c r="D556" s="117"/>
    </row>
    <row r="557" spans="1:4" x14ac:dyDescent="0.3">
      <c r="A557" s="117"/>
      <c r="B557" s="110"/>
      <c r="C557" s="117"/>
      <c r="D557" s="117"/>
    </row>
    <row r="558" spans="1:4" x14ac:dyDescent="0.3">
      <c r="A558" s="117"/>
      <c r="B558" s="110"/>
      <c r="C558" s="117"/>
      <c r="D558" s="117"/>
    </row>
    <row r="559" spans="1:4" x14ac:dyDescent="0.3">
      <c r="A559" s="117"/>
      <c r="B559" s="110"/>
      <c r="C559" s="117"/>
      <c r="D559" s="117"/>
    </row>
    <row r="560" spans="1:4" x14ac:dyDescent="0.3">
      <c r="A560" s="117"/>
      <c r="B560" s="110"/>
      <c r="C560" s="117"/>
      <c r="D560" s="117"/>
    </row>
    <row r="561" spans="1:4" x14ac:dyDescent="0.3">
      <c r="A561" s="117"/>
      <c r="B561" s="110"/>
      <c r="C561" s="117"/>
      <c r="D561" s="117"/>
    </row>
    <row r="562" spans="1:4" x14ac:dyDescent="0.3">
      <c r="A562" s="117"/>
      <c r="B562" s="110"/>
      <c r="C562" s="117"/>
      <c r="D562" s="117"/>
    </row>
    <row r="563" spans="1:4" x14ac:dyDescent="0.3">
      <c r="A563" s="117"/>
      <c r="B563" s="110"/>
      <c r="C563" s="117"/>
      <c r="D563" s="117"/>
    </row>
    <row r="564" spans="1:4" x14ac:dyDescent="0.3">
      <c r="A564" s="117"/>
      <c r="B564" s="110"/>
      <c r="C564" s="117"/>
      <c r="D564" s="117"/>
    </row>
    <row r="565" spans="1:4" x14ac:dyDescent="0.3">
      <c r="A565" s="117"/>
      <c r="B565" s="110"/>
      <c r="C565" s="117"/>
      <c r="D565" s="117"/>
    </row>
    <row r="566" spans="1:4" x14ac:dyDescent="0.3">
      <c r="A566" s="117"/>
      <c r="B566" s="110"/>
      <c r="C566" s="117"/>
      <c r="D566" s="117"/>
    </row>
    <row r="567" spans="1:4" x14ac:dyDescent="0.3">
      <c r="A567" s="117"/>
      <c r="B567" s="110"/>
      <c r="C567" s="117"/>
      <c r="D567" s="117"/>
    </row>
    <row r="568" spans="1:4" x14ac:dyDescent="0.3">
      <c r="A568" s="117"/>
      <c r="B568" s="110"/>
      <c r="C568" s="117"/>
      <c r="D568" s="117"/>
    </row>
    <row r="569" spans="1:4" x14ac:dyDescent="0.3">
      <c r="A569" s="117"/>
      <c r="B569" s="110"/>
      <c r="C569" s="117"/>
      <c r="D569" s="117"/>
    </row>
    <row r="570" spans="1:4" x14ac:dyDescent="0.3">
      <c r="A570" s="117"/>
      <c r="B570" s="110"/>
      <c r="C570" s="117"/>
      <c r="D570" s="117"/>
    </row>
    <row r="571" spans="1:4" x14ac:dyDescent="0.3">
      <c r="A571" s="117"/>
      <c r="B571" s="110"/>
      <c r="C571" s="117"/>
      <c r="D571" s="117"/>
    </row>
    <row r="572" spans="1:4" x14ac:dyDescent="0.3">
      <c r="A572" s="117"/>
      <c r="B572" s="110"/>
      <c r="C572" s="117"/>
      <c r="D572" s="117"/>
    </row>
    <row r="573" spans="1:4" x14ac:dyDescent="0.3">
      <c r="A573" s="117"/>
      <c r="B573" s="110"/>
      <c r="C573" s="117"/>
      <c r="D573" s="117"/>
    </row>
    <row r="574" spans="1:4" x14ac:dyDescent="0.3">
      <c r="A574" s="117"/>
      <c r="B574" s="110"/>
      <c r="C574" s="117"/>
      <c r="D574" s="117"/>
    </row>
    <row r="575" spans="1:4" x14ac:dyDescent="0.3">
      <c r="A575" s="117"/>
      <c r="B575" s="110"/>
      <c r="C575" s="117"/>
      <c r="D575" s="117"/>
    </row>
    <row r="576" spans="1:4" x14ac:dyDescent="0.3">
      <c r="A576" s="117"/>
      <c r="B576" s="110"/>
      <c r="C576" s="117"/>
      <c r="D576" s="117"/>
    </row>
    <row r="577" spans="1:4" x14ac:dyDescent="0.3">
      <c r="A577" s="117"/>
      <c r="B577" s="110"/>
      <c r="C577" s="117"/>
      <c r="D577" s="117"/>
    </row>
    <row r="578" spans="1:4" x14ac:dyDescent="0.3">
      <c r="A578" s="117"/>
      <c r="B578" s="110"/>
      <c r="C578" s="117"/>
      <c r="D578" s="117"/>
    </row>
    <row r="579" spans="1:4" x14ac:dyDescent="0.3">
      <c r="A579" s="117"/>
      <c r="B579" s="110"/>
      <c r="C579" s="117"/>
      <c r="D579" s="117"/>
    </row>
    <row r="580" spans="1:4" x14ac:dyDescent="0.3">
      <c r="A580" s="117"/>
      <c r="B580" s="110"/>
      <c r="C580" s="117"/>
      <c r="D580" s="117"/>
    </row>
    <row r="581" spans="1:4" x14ac:dyDescent="0.3">
      <c r="A581" s="117"/>
      <c r="B581" s="110"/>
      <c r="C581" s="117"/>
      <c r="D581" s="117"/>
    </row>
    <row r="582" spans="1:4" x14ac:dyDescent="0.3">
      <c r="A582" s="117"/>
      <c r="B582" s="110"/>
      <c r="C582" s="117"/>
      <c r="D582" s="117"/>
    </row>
    <row r="583" spans="1:4" x14ac:dyDescent="0.3">
      <c r="A583" s="117"/>
      <c r="B583" s="110"/>
      <c r="C583" s="117"/>
      <c r="D583" s="117"/>
    </row>
    <row r="584" spans="1:4" x14ac:dyDescent="0.3">
      <c r="A584" s="117"/>
      <c r="B584" s="110"/>
      <c r="C584" s="117"/>
      <c r="D584" s="117"/>
    </row>
    <row r="585" spans="1:4" x14ac:dyDescent="0.3">
      <c r="A585" s="117"/>
      <c r="B585" s="110"/>
      <c r="C585" s="117"/>
      <c r="D585" s="117"/>
    </row>
    <row r="586" spans="1:4" x14ac:dyDescent="0.3">
      <c r="A586" s="117"/>
      <c r="B586" s="110"/>
      <c r="C586" s="117"/>
      <c r="D586" s="117"/>
    </row>
    <row r="587" spans="1:4" x14ac:dyDescent="0.3">
      <c r="A587" s="117"/>
      <c r="B587" s="110"/>
      <c r="C587" s="117"/>
      <c r="D587" s="117"/>
    </row>
    <row r="588" spans="1:4" x14ac:dyDescent="0.3">
      <c r="A588" s="117"/>
      <c r="B588" s="110"/>
      <c r="C588" s="117"/>
      <c r="D588" s="117"/>
    </row>
    <row r="589" spans="1:4" x14ac:dyDescent="0.3">
      <c r="A589" s="117"/>
      <c r="B589" s="110"/>
      <c r="C589" s="117"/>
      <c r="D589" s="117"/>
    </row>
    <row r="590" spans="1:4" x14ac:dyDescent="0.3">
      <c r="A590" s="117"/>
      <c r="B590" s="110"/>
      <c r="C590" s="117"/>
      <c r="D590" s="117"/>
    </row>
    <row r="591" spans="1:4" x14ac:dyDescent="0.3">
      <c r="A591" s="117"/>
      <c r="B591" s="110"/>
      <c r="C591" s="117"/>
      <c r="D591" s="117"/>
    </row>
    <row r="592" spans="1:4" x14ac:dyDescent="0.3">
      <c r="A592" s="117"/>
      <c r="B592" s="110"/>
      <c r="C592" s="117"/>
      <c r="D592" s="117"/>
    </row>
    <row r="593" spans="1:4" x14ac:dyDescent="0.3">
      <c r="A593" s="117"/>
      <c r="B593" s="110"/>
      <c r="C593" s="117"/>
      <c r="D593" s="117"/>
    </row>
    <row r="594" spans="1:4" x14ac:dyDescent="0.3">
      <c r="A594" s="117"/>
      <c r="B594" s="110"/>
      <c r="C594" s="117"/>
      <c r="D594" s="117"/>
    </row>
    <row r="595" spans="1:4" x14ac:dyDescent="0.3">
      <c r="A595" s="117"/>
      <c r="B595" s="110"/>
      <c r="C595" s="117"/>
      <c r="D595" s="117"/>
    </row>
    <row r="596" spans="1:4" x14ac:dyDescent="0.3">
      <c r="A596" s="117"/>
      <c r="B596" s="110"/>
      <c r="C596" s="117"/>
      <c r="D596" s="117"/>
    </row>
    <row r="597" spans="1:4" x14ac:dyDescent="0.3">
      <c r="A597" s="117"/>
      <c r="B597" s="110"/>
      <c r="C597" s="117"/>
      <c r="D597" s="117"/>
    </row>
    <row r="598" spans="1:4" x14ac:dyDescent="0.3">
      <c r="A598" s="117"/>
      <c r="B598" s="110"/>
      <c r="C598" s="117"/>
      <c r="D598" s="117"/>
    </row>
    <row r="599" spans="1:4" x14ac:dyDescent="0.3">
      <c r="A599" s="117"/>
      <c r="B599" s="110"/>
      <c r="C599" s="117"/>
      <c r="D599" s="117"/>
    </row>
    <row r="600" spans="1:4" x14ac:dyDescent="0.3">
      <c r="A600" s="117"/>
      <c r="B600" s="110"/>
      <c r="C600" s="117"/>
      <c r="D600" s="117"/>
    </row>
    <row r="601" spans="1:4" x14ac:dyDescent="0.3">
      <c r="A601" s="117"/>
      <c r="B601" s="110"/>
      <c r="C601" s="117"/>
      <c r="D601" s="117"/>
    </row>
    <row r="602" spans="1:4" x14ac:dyDescent="0.3">
      <c r="A602" s="117"/>
      <c r="B602" s="110"/>
      <c r="C602" s="117"/>
      <c r="D602" s="117"/>
    </row>
    <row r="603" spans="1:4" x14ac:dyDescent="0.3">
      <c r="A603" s="117"/>
      <c r="B603" s="110"/>
      <c r="C603" s="117"/>
      <c r="D603" s="117"/>
    </row>
    <row r="604" spans="1:4" x14ac:dyDescent="0.3">
      <c r="A604" s="117"/>
      <c r="B604" s="110"/>
      <c r="C604" s="117"/>
      <c r="D604" s="117"/>
    </row>
    <row r="605" spans="1:4" x14ac:dyDescent="0.3">
      <c r="A605" s="117"/>
      <c r="B605" s="110"/>
      <c r="C605" s="117"/>
      <c r="D605" s="117"/>
    </row>
    <row r="606" spans="1:4" x14ac:dyDescent="0.3">
      <c r="A606" s="117"/>
      <c r="B606" s="110"/>
      <c r="C606" s="117"/>
      <c r="D606" s="117"/>
    </row>
    <row r="607" spans="1:4" x14ac:dyDescent="0.3">
      <c r="A607" s="117"/>
      <c r="B607" s="110"/>
      <c r="C607" s="117"/>
      <c r="D607" s="117"/>
    </row>
    <row r="608" spans="1:4" x14ac:dyDescent="0.3">
      <c r="A608" s="117"/>
      <c r="B608" s="110"/>
      <c r="C608" s="117"/>
      <c r="D608" s="117"/>
    </row>
    <row r="609" spans="1:4" x14ac:dyDescent="0.3">
      <c r="A609" s="117"/>
      <c r="B609" s="110"/>
      <c r="C609" s="117"/>
      <c r="D609" s="117"/>
    </row>
    <row r="610" spans="1:4" x14ac:dyDescent="0.3">
      <c r="A610" s="117"/>
      <c r="B610" s="110"/>
      <c r="C610" s="117"/>
      <c r="D610" s="117"/>
    </row>
    <row r="611" spans="1:4" x14ac:dyDescent="0.3">
      <c r="A611" s="117"/>
      <c r="B611" s="110"/>
      <c r="C611" s="117"/>
      <c r="D611" s="117"/>
    </row>
    <row r="612" spans="1:4" x14ac:dyDescent="0.3">
      <c r="A612" s="117"/>
      <c r="B612" s="110"/>
      <c r="C612" s="117"/>
      <c r="D612" s="117"/>
    </row>
    <row r="613" spans="1:4" x14ac:dyDescent="0.3">
      <c r="A613" s="117"/>
      <c r="B613" s="110"/>
      <c r="C613" s="117"/>
      <c r="D613" s="117"/>
    </row>
    <row r="614" spans="1:4" x14ac:dyDescent="0.3">
      <c r="A614" s="117"/>
      <c r="B614" s="110"/>
      <c r="C614" s="117"/>
      <c r="D614" s="117"/>
    </row>
    <row r="615" spans="1:4" x14ac:dyDescent="0.3">
      <c r="A615" s="117"/>
      <c r="B615" s="110"/>
      <c r="C615" s="117"/>
      <c r="D615" s="117"/>
    </row>
    <row r="616" spans="1:4" x14ac:dyDescent="0.3">
      <c r="A616" s="117"/>
      <c r="B616" s="110"/>
      <c r="C616" s="117"/>
      <c r="D616" s="117"/>
    </row>
    <row r="617" spans="1:4" x14ac:dyDescent="0.3">
      <c r="A617" s="117"/>
      <c r="B617" s="110"/>
      <c r="C617" s="117"/>
      <c r="D617" s="117"/>
    </row>
    <row r="618" spans="1:4" x14ac:dyDescent="0.3">
      <c r="A618" s="117"/>
      <c r="B618" s="110"/>
      <c r="C618" s="117"/>
      <c r="D618" s="117"/>
    </row>
    <row r="619" spans="1:4" x14ac:dyDescent="0.3">
      <c r="A619" s="117"/>
      <c r="B619" s="110"/>
      <c r="C619" s="117"/>
      <c r="D619" s="117"/>
    </row>
    <row r="620" spans="1:4" x14ac:dyDescent="0.3">
      <c r="A620" s="117"/>
      <c r="B620" s="110"/>
      <c r="C620" s="117"/>
      <c r="D620" s="117"/>
    </row>
    <row r="621" spans="1:4" x14ac:dyDescent="0.3">
      <c r="A621" s="117"/>
      <c r="B621" s="110"/>
      <c r="C621" s="117"/>
      <c r="D621" s="117"/>
    </row>
    <row r="622" spans="1:4" x14ac:dyDescent="0.3">
      <c r="A622" s="117"/>
      <c r="B622" s="110"/>
      <c r="C622" s="117"/>
      <c r="D622" s="117"/>
    </row>
    <row r="623" spans="1:4" x14ac:dyDescent="0.3">
      <c r="A623" s="117"/>
      <c r="B623" s="110"/>
      <c r="C623" s="117"/>
      <c r="D623" s="117"/>
    </row>
    <row r="624" spans="1:4" x14ac:dyDescent="0.3">
      <c r="A624" s="117"/>
      <c r="B624" s="110"/>
      <c r="C624" s="117"/>
      <c r="D624" s="117"/>
    </row>
    <row r="625" spans="1:4" x14ac:dyDescent="0.3">
      <c r="A625" s="117"/>
      <c r="B625" s="110"/>
      <c r="C625" s="117"/>
      <c r="D625" s="117"/>
    </row>
    <row r="626" spans="1:4" x14ac:dyDescent="0.3">
      <c r="A626" s="117"/>
      <c r="B626" s="110"/>
      <c r="C626" s="117"/>
      <c r="D626" s="117"/>
    </row>
    <row r="627" spans="1:4" x14ac:dyDescent="0.3">
      <c r="A627" s="117"/>
      <c r="B627" s="110"/>
      <c r="C627" s="117"/>
      <c r="D627" s="117"/>
    </row>
    <row r="628" spans="1:4" x14ac:dyDescent="0.3">
      <c r="A628" s="117"/>
      <c r="B628" s="110"/>
      <c r="C628" s="117"/>
      <c r="D628" s="117"/>
    </row>
    <row r="629" spans="1:4" x14ac:dyDescent="0.3">
      <c r="A629" s="117"/>
      <c r="B629" s="110"/>
      <c r="C629" s="117"/>
      <c r="D629" s="117"/>
    </row>
    <row r="630" spans="1:4" x14ac:dyDescent="0.3">
      <c r="A630" s="117"/>
      <c r="B630" s="110"/>
      <c r="C630" s="117"/>
      <c r="D630" s="117"/>
    </row>
    <row r="631" spans="1:4" x14ac:dyDescent="0.3">
      <c r="A631" s="117"/>
      <c r="B631" s="110"/>
      <c r="C631" s="117"/>
      <c r="D631" s="117"/>
    </row>
    <row r="632" spans="1:4" x14ac:dyDescent="0.3">
      <c r="A632" s="117"/>
      <c r="B632" s="110"/>
      <c r="C632" s="117"/>
      <c r="D632" s="117"/>
    </row>
    <row r="633" spans="1:4" x14ac:dyDescent="0.3">
      <c r="A633" s="117"/>
      <c r="B633" s="110"/>
      <c r="C633" s="117"/>
      <c r="D633" s="117"/>
    </row>
    <row r="634" spans="1:4" x14ac:dyDescent="0.3">
      <c r="A634" s="117"/>
      <c r="B634" s="110"/>
      <c r="C634" s="117"/>
      <c r="D634" s="117"/>
    </row>
    <row r="635" spans="1:4" x14ac:dyDescent="0.3">
      <c r="A635" s="117"/>
      <c r="B635" s="110"/>
      <c r="C635" s="117"/>
      <c r="D635" s="117"/>
    </row>
    <row r="636" spans="1:4" x14ac:dyDescent="0.3">
      <c r="A636" s="117"/>
      <c r="B636" s="110"/>
      <c r="C636" s="117"/>
      <c r="D636" s="117"/>
    </row>
    <row r="637" spans="1:4" x14ac:dyDescent="0.3">
      <c r="A637" s="117"/>
      <c r="B637" s="110"/>
      <c r="C637" s="117"/>
      <c r="D637" s="117"/>
    </row>
    <row r="638" spans="1:4" x14ac:dyDescent="0.3">
      <c r="A638" s="117"/>
      <c r="B638" s="110"/>
      <c r="C638" s="117"/>
      <c r="D638" s="117"/>
    </row>
    <row r="639" spans="1:4" x14ac:dyDescent="0.3">
      <c r="A639" s="117"/>
      <c r="B639" s="110"/>
      <c r="C639" s="117"/>
      <c r="D639" s="117"/>
    </row>
    <row r="640" spans="1:4" x14ac:dyDescent="0.3">
      <c r="A640" s="117"/>
      <c r="B640" s="110"/>
      <c r="C640" s="117"/>
      <c r="D640" s="117"/>
    </row>
    <row r="641" spans="1:4" x14ac:dyDescent="0.3">
      <c r="A641" s="117"/>
      <c r="B641" s="110"/>
      <c r="C641" s="117"/>
      <c r="D641" s="117"/>
    </row>
    <row r="642" spans="1:4" x14ac:dyDescent="0.3">
      <c r="A642" s="117"/>
      <c r="B642" s="110"/>
      <c r="C642" s="117"/>
      <c r="D642" s="117"/>
    </row>
    <row r="643" spans="1:4" x14ac:dyDescent="0.3">
      <c r="A643" s="117"/>
      <c r="B643" s="110"/>
      <c r="C643" s="117"/>
      <c r="D643" s="117"/>
    </row>
    <row r="644" spans="1:4" x14ac:dyDescent="0.3">
      <c r="A644" s="117"/>
      <c r="B644" s="110"/>
      <c r="C644" s="117"/>
      <c r="D644" s="117"/>
    </row>
    <row r="645" spans="1:4" x14ac:dyDescent="0.3">
      <c r="A645" s="117"/>
      <c r="B645" s="110"/>
      <c r="C645" s="117"/>
      <c r="D645" s="117"/>
    </row>
    <row r="646" spans="1:4" x14ac:dyDescent="0.3">
      <c r="A646" s="117"/>
      <c r="B646" s="110"/>
      <c r="C646" s="117"/>
      <c r="D646" s="117"/>
    </row>
    <row r="647" spans="1:4" x14ac:dyDescent="0.3">
      <c r="A647" s="117"/>
      <c r="B647" s="110"/>
      <c r="C647" s="117"/>
      <c r="D647" s="117"/>
    </row>
    <row r="648" spans="1:4" x14ac:dyDescent="0.3">
      <c r="A648" s="117"/>
      <c r="B648" s="110"/>
      <c r="C648" s="117"/>
      <c r="D648" s="117"/>
    </row>
    <row r="649" spans="1:4" x14ac:dyDescent="0.3">
      <c r="A649" s="117"/>
      <c r="B649" s="110"/>
      <c r="C649" s="117"/>
      <c r="D649" s="117"/>
    </row>
    <row r="650" spans="1:4" x14ac:dyDescent="0.3">
      <c r="A650" s="117"/>
      <c r="B650" s="110"/>
      <c r="C650" s="117"/>
      <c r="D650" s="117"/>
    </row>
    <row r="651" spans="1:4" x14ac:dyDescent="0.3">
      <c r="A651" s="117"/>
      <c r="B651" s="110"/>
      <c r="C651" s="117"/>
      <c r="D651" s="117"/>
    </row>
    <row r="652" spans="1:4" x14ac:dyDescent="0.3">
      <c r="A652" s="117"/>
      <c r="B652" s="110"/>
      <c r="C652" s="117"/>
      <c r="D652" s="117"/>
    </row>
    <row r="653" spans="1:4" x14ac:dyDescent="0.3">
      <c r="A653" s="117"/>
      <c r="B653" s="110"/>
      <c r="C653" s="117"/>
      <c r="D653" s="117"/>
    </row>
    <row r="654" spans="1:4" x14ac:dyDescent="0.3">
      <c r="A654" s="117"/>
      <c r="B654" s="110"/>
      <c r="C654" s="117"/>
      <c r="D654" s="117"/>
    </row>
    <row r="655" spans="1:4" x14ac:dyDescent="0.3">
      <c r="A655" s="117"/>
      <c r="B655" s="110"/>
      <c r="C655" s="117"/>
      <c r="D655" s="117"/>
    </row>
    <row r="656" spans="1:4" x14ac:dyDescent="0.3">
      <c r="A656" s="117"/>
      <c r="B656" s="110"/>
      <c r="C656" s="117"/>
      <c r="D656" s="117"/>
    </row>
    <row r="657" spans="1:4" x14ac:dyDescent="0.3">
      <c r="A657" s="117"/>
      <c r="B657" s="110"/>
      <c r="C657" s="117"/>
      <c r="D657" s="117"/>
    </row>
    <row r="658" spans="1:4" x14ac:dyDescent="0.3">
      <c r="A658" s="117"/>
      <c r="B658" s="110"/>
      <c r="C658" s="117"/>
      <c r="D658" s="117"/>
    </row>
    <row r="659" spans="1:4" x14ac:dyDescent="0.3">
      <c r="A659" s="117"/>
      <c r="B659" s="110"/>
      <c r="C659" s="117"/>
      <c r="D659" s="117"/>
    </row>
    <row r="660" spans="1:4" x14ac:dyDescent="0.3">
      <c r="A660" s="117"/>
      <c r="B660" s="110"/>
      <c r="C660" s="117"/>
      <c r="D660" s="117"/>
    </row>
    <row r="661" spans="1:4" x14ac:dyDescent="0.3">
      <c r="A661" s="117"/>
      <c r="B661" s="110"/>
      <c r="C661" s="117"/>
      <c r="D661" s="117"/>
    </row>
    <row r="662" spans="1:4" x14ac:dyDescent="0.3">
      <c r="A662" s="117"/>
      <c r="B662" s="110"/>
      <c r="C662" s="117"/>
      <c r="D662" s="117"/>
    </row>
    <row r="663" spans="1:4" x14ac:dyDescent="0.3">
      <c r="A663" s="117"/>
      <c r="B663" s="110"/>
      <c r="C663" s="117"/>
      <c r="D663" s="117"/>
    </row>
    <row r="664" spans="1:4" x14ac:dyDescent="0.3">
      <c r="A664" s="117"/>
      <c r="B664" s="110"/>
      <c r="C664" s="117"/>
      <c r="D664" s="117"/>
    </row>
    <row r="665" spans="1:4" x14ac:dyDescent="0.3">
      <c r="A665" s="117"/>
      <c r="B665" s="110"/>
      <c r="C665" s="117"/>
      <c r="D665" s="117"/>
    </row>
    <row r="666" spans="1:4" x14ac:dyDescent="0.3">
      <c r="A666" s="117"/>
      <c r="B666" s="110"/>
      <c r="C666" s="117"/>
      <c r="D666" s="117"/>
    </row>
    <row r="667" spans="1:4" x14ac:dyDescent="0.3">
      <c r="A667" s="117"/>
      <c r="B667" s="110"/>
      <c r="C667" s="117"/>
      <c r="D667" s="117"/>
    </row>
    <row r="668" spans="1:4" x14ac:dyDescent="0.3">
      <c r="A668" s="117"/>
      <c r="B668" s="110"/>
      <c r="C668" s="117"/>
      <c r="D668" s="117"/>
    </row>
    <row r="669" spans="1:4" x14ac:dyDescent="0.3">
      <c r="A669" s="117"/>
      <c r="B669" s="110"/>
      <c r="C669" s="117"/>
      <c r="D669" s="117"/>
    </row>
    <row r="670" spans="1:4" x14ac:dyDescent="0.3">
      <c r="A670" s="117"/>
      <c r="B670" s="110"/>
      <c r="C670" s="117"/>
      <c r="D670" s="117"/>
    </row>
    <row r="671" spans="1:4" x14ac:dyDescent="0.3">
      <c r="A671" s="117"/>
      <c r="B671" s="110"/>
      <c r="C671" s="117"/>
      <c r="D671" s="117"/>
    </row>
    <row r="672" spans="1:4" x14ac:dyDescent="0.3">
      <c r="A672" s="117"/>
      <c r="B672" s="110"/>
      <c r="C672" s="117"/>
      <c r="D672" s="117"/>
    </row>
    <row r="673" spans="1:4" x14ac:dyDescent="0.3">
      <c r="A673" s="117"/>
      <c r="B673" s="110"/>
      <c r="C673" s="117"/>
      <c r="D673" s="117"/>
    </row>
    <row r="674" spans="1:4" x14ac:dyDescent="0.3">
      <c r="A674" s="117"/>
      <c r="B674" s="110"/>
      <c r="C674" s="117"/>
      <c r="D674" s="117"/>
    </row>
    <row r="675" spans="1:4" x14ac:dyDescent="0.3">
      <c r="A675" s="117"/>
      <c r="B675" s="110"/>
      <c r="C675" s="117"/>
      <c r="D675" s="117"/>
    </row>
    <row r="676" spans="1:4" x14ac:dyDescent="0.3">
      <c r="A676" s="117"/>
      <c r="B676" s="110"/>
      <c r="C676" s="117"/>
      <c r="D676" s="117"/>
    </row>
    <row r="677" spans="1:4" x14ac:dyDescent="0.3">
      <c r="A677" s="117"/>
      <c r="B677" s="110"/>
      <c r="C677" s="117"/>
      <c r="D677" s="117"/>
    </row>
    <row r="678" spans="1:4" x14ac:dyDescent="0.3">
      <c r="A678" s="117"/>
      <c r="B678" s="110"/>
      <c r="C678" s="117"/>
      <c r="D678" s="117"/>
    </row>
    <row r="679" spans="1:4" x14ac:dyDescent="0.3">
      <c r="A679" s="117"/>
      <c r="B679" s="110"/>
      <c r="C679" s="117"/>
      <c r="D679" s="117"/>
    </row>
    <row r="680" spans="1:4" x14ac:dyDescent="0.3">
      <c r="A680" s="117"/>
      <c r="B680" s="110"/>
      <c r="C680" s="117"/>
      <c r="D680" s="117"/>
    </row>
    <row r="681" spans="1:4" x14ac:dyDescent="0.3">
      <c r="A681" s="117"/>
      <c r="B681" s="110"/>
      <c r="C681" s="117"/>
      <c r="D681" s="117"/>
    </row>
    <row r="682" spans="1:4" x14ac:dyDescent="0.3">
      <c r="A682" s="117"/>
      <c r="B682" s="110"/>
      <c r="C682" s="117"/>
      <c r="D682" s="117"/>
    </row>
    <row r="683" spans="1:4" x14ac:dyDescent="0.3">
      <c r="A683" s="117"/>
      <c r="B683" s="110"/>
      <c r="C683" s="117"/>
      <c r="D683" s="117"/>
    </row>
    <row r="684" spans="1:4" x14ac:dyDescent="0.3">
      <c r="A684" s="117"/>
      <c r="B684" s="110"/>
      <c r="C684" s="117"/>
      <c r="D684" s="117"/>
    </row>
    <row r="685" spans="1:4" x14ac:dyDescent="0.3">
      <c r="A685" s="117"/>
      <c r="B685" s="110"/>
      <c r="C685" s="117"/>
      <c r="D685" s="117"/>
    </row>
    <row r="686" spans="1:4" x14ac:dyDescent="0.3">
      <c r="A686" s="117"/>
      <c r="B686" s="110"/>
      <c r="C686" s="117"/>
      <c r="D686" s="117"/>
    </row>
    <row r="687" spans="1:4" x14ac:dyDescent="0.3">
      <c r="A687" s="117"/>
      <c r="B687" s="110"/>
      <c r="C687" s="117"/>
      <c r="D687" s="117"/>
    </row>
    <row r="688" spans="1:4" x14ac:dyDescent="0.3">
      <c r="A688" s="117"/>
      <c r="B688" s="110"/>
      <c r="C688" s="117"/>
      <c r="D688" s="117"/>
    </row>
    <row r="689" spans="1:4" x14ac:dyDescent="0.3">
      <c r="A689" s="117"/>
      <c r="B689" s="110"/>
      <c r="C689" s="117"/>
      <c r="D689" s="117"/>
    </row>
    <row r="690" spans="1:4" x14ac:dyDescent="0.3">
      <c r="A690" s="117"/>
      <c r="B690" s="110"/>
      <c r="C690" s="117"/>
      <c r="D690" s="117"/>
    </row>
    <row r="691" spans="1:4" x14ac:dyDescent="0.3">
      <c r="A691" s="117"/>
      <c r="B691" s="110"/>
      <c r="C691" s="117"/>
      <c r="D691" s="117"/>
    </row>
    <row r="692" spans="1:4" x14ac:dyDescent="0.3">
      <c r="A692" s="117"/>
      <c r="B692" s="110"/>
      <c r="C692" s="117"/>
      <c r="D692" s="117"/>
    </row>
    <row r="693" spans="1:4" x14ac:dyDescent="0.3">
      <c r="A693" s="117"/>
      <c r="B693" s="110"/>
      <c r="C693" s="117"/>
      <c r="D693" s="117"/>
    </row>
    <row r="694" spans="1:4" x14ac:dyDescent="0.3">
      <c r="A694" s="117"/>
      <c r="B694" s="110"/>
      <c r="C694" s="117"/>
      <c r="D694" s="117"/>
    </row>
    <row r="695" spans="1:4" x14ac:dyDescent="0.3">
      <c r="A695" s="117"/>
      <c r="B695" s="110"/>
      <c r="C695" s="117"/>
      <c r="D695" s="117"/>
    </row>
    <row r="696" spans="1:4" x14ac:dyDescent="0.3">
      <c r="A696" s="117"/>
      <c r="B696" s="110"/>
      <c r="C696" s="117"/>
      <c r="D696" s="117"/>
    </row>
    <row r="697" spans="1:4" x14ac:dyDescent="0.3">
      <c r="A697" s="117"/>
      <c r="B697" s="110"/>
      <c r="C697" s="117"/>
      <c r="D697" s="117"/>
    </row>
    <row r="698" spans="1:4" x14ac:dyDescent="0.3">
      <c r="A698" s="117"/>
      <c r="B698" s="110"/>
      <c r="C698" s="117"/>
      <c r="D698" s="117"/>
    </row>
    <row r="699" spans="1:4" x14ac:dyDescent="0.3">
      <c r="A699" s="117"/>
      <c r="B699" s="110"/>
      <c r="C699" s="117"/>
      <c r="D699" s="117"/>
    </row>
    <row r="700" spans="1:4" x14ac:dyDescent="0.3">
      <c r="A700" s="117"/>
      <c r="B700" s="110"/>
      <c r="C700" s="117"/>
      <c r="D700" s="117"/>
    </row>
    <row r="701" spans="1:4" x14ac:dyDescent="0.3">
      <c r="A701" s="117"/>
      <c r="B701" s="110"/>
      <c r="C701" s="117"/>
      <c r="D701" s="117"/>
    </row>
    <row r="702" spans="1:4" x14ac:dyDescent="0.3">
      <c r="A702" s="117"/>
      <c r="B702" s="110"/>
      <c r="C702" s="117"/>
      <c r="D702" s="117"/>
    </row>
    <row r="703" spans="1:4" x14ac:dyDescent="0.3">
      <c r="A703" s="117"/>
      <c r="B703" s="110"/>
      <c r="C703" s="117"/>
      <c r="D703" s="117"/>
    </row>
    <row r="704" spans="1:4" x14ac:dyDescent="0.3">
      <c r="A704" s="117"/>
      <c r="B704" s="110"/>
      <c r="C704" s="117"/>
      <c r="D704" s="117"/>
    </row>
    <row r="705" spans="1:4" x14ac:dyDescent="0.3">
      <c r="A705" s="117"/>
      <c r="B705" s="110"/>
      <c r="C705" s="117"/>
      <c r="D705" s="117"/>
    </row>
    <row r="706" spans="1:4" x14ac:dyDescent="0.3">
      <c r="A706" s="117"/>
      <c r="B706" s="110"/>
      <c r="C706" s="117"/>
      <c r="D706" s="117"/>
    </row>
    <row r="707" spans="1:4" x14ac:dyDescent="0.3">
      <c r="A707" s="117"/>
      <c r="B707" s="110"/>
      <c r="C707" s="117"/>
      <c r="D707" s="117"/>
    </row>
    <row r="708" spans="1:4" x14ac:dyDescent="0.3">
      <c r="A708" s="117"/>
      <c r="B708" s="110"/>
      <c r="C708" s="117"/>
      <c r="D708" s="117"/>
    </row>
    <row r="709" spans="1:4" x14ac:dyDescent="0.3">
      <c r="A709" s="117"/>
      <c r="B709" s="110"/>
      <c r="C709" s="117"/>
      <c r="D709" s="117"/>
    </row>
    <row r="710" spans="1:4" x14ac:dyDescent="0.3">
      <c r="A710" s="117"/>
      <c r="B710" s="110"/>
      <c r="C710" s="117"/>
      <c r="D710" s="117"/>
    </row>
    <row r="711" spans="1:4" x14ac:dyDescent="0.3">
      <c r="A711" s="117"/>
      <c r="B711" s="110"/>
      <c r="C711" s="117"/>
      <c r="D711" s="117"/>
    </row>
    <row r="712" spans="1:4" x14ac:dyDescent="0.3">
      <c r="A712" s="117"/>
      <c r="B712" s="110"/>
      <c r="C712" s="117"/>
      <c r="D712" s="117"/>
    </row>
    <row r="713" spans="1:4" x14ac:dyDescent="0.3">
      <c r="A713" s="117"/>
      <c r="B713" s="110"/>
      <c r="C713" s="117"/>
      <c r="D713" s="117"/>
    </row>
    <row r="714" spans="1:4" x14ac:dyDescent="0.3">
      <c r="A714" s="117"/>
      <c r="B714" s="110"/>
      <c r="C714" s="117"/>
      <c r="D714" s="117"/>
    </row>
    <row r="715" spans="1:4" x14ac:dyDescent="0.3">
      <c r="A715" s="117"/>
      <c r="B715" s="110"/>
      <c r="C715" s="117"/>
      <c r="D715" s="117"/>
    </row>
    <row r="716" spans="1:4" x14ac:dyDescent="0.3">
      <c r="A716" s="117"/>
      <c r="B716" s="110"/>
      <c r="C716" s="117"/>
      <c r="D716" s="117"/>
    </row>
    <row r="717" spans="1:4" x14ac:dyDescent="0.3">
      <c r="A717" s="117"/>
      <c r="B717" s="110"/>
      <c r="C717" s="117"/>
      <c r="D717" s="117"/>
    </row>
    <row r="718" spans="1:4" x14ac:dyDescent="0.3">
      <c r="A718" s="117"/>
      <c r="B718" s="110"/>
      <c r="C718" s="117"/>
      <c r="D718" s="117"/>
    </row>
    <row r="719" spans="1:4" x14ac:dyDescent="0.3">
      <c r="A719" s="117"/>
      <c r="B719" s="110"/>
      <c r="C719" s="117"/>
      <c r="D719" s="117"/>
    </row>
    <row r="720" spans="1:4" x14ac:dyDescent="0.3">
      <c r="A720" s="117"/>
      <c r="B720" s="110"/>
      <c r="C720" s="117"/>
      <c r="D720" s="117"/>
    </row>
    <row r="721" spans="1:4" x14ac:dyDescent="0.3">
      <c r="A721" s="117"/>
      <c r="B721" s="110"/>
      <c r="C721" s="117"/>
      <c r="D721" s="117"/>
    </row>
    <row r="722" spans="1:4" x14ac:dyDescent="0.3">
      <c r="A722" s="117"/>
      <c r="B722" s="110"/>
      <c r="C722" s="117"/>
      <c r="D722" s="117"/>
    </row>
    <row r="723" spans="1:4" x14ac:dyDescent="0.3">
      <c r="A723" s="117"/>
      <c r="B723" s="110"/>
      <c r="C723" s="117"/>
      <c r="D723" s="117"/>
    </row>
    <row r="724" spans="1:4" x14ac:dyDescent="0.3">
      <c r="A724" s="117"/>
      <c r="B724" s="110"/>
      <c r="C724" s="117"/>
      <c r="D724" s="117"/>
    </row>
    <row r="725" spans="1:4" x14ac:dyDescent="0.3">
      <c r="A725" s="117"/>
      <c r="B725" s="110"/>
      <c r="C725" s="117"/>
      <c r="D725" s="117"/>
    </row>
    <row r="726" spans="1:4" x14ac:dyDescent="0.3">
      <c r="A726" s="117"/>
      <c r="B726" s="110"/>
      <c r="C726" s="117"/>
      <c r="D726" s="117"/>
    </row>
    <row r="727" spans="1:4" x14ac:dyDescent="0.3">
      <c r="A727" s="117"/>
      <c r="B727" s="110"/>
      <c r="C727" s="117"/>
      <c r="D727" s="117"/>
    </row>
    <row r="728" spans="1:4" x14ac:dyDescent="0.3">
      <c r="A728" s="117"/>
      <c r="B728" s="110"/>
      <c r="C728" s="117"/>
      <c r="D728" s="117"/>
    </row>
    <row r="729" spans="1:4" x14ac:dyDescent="0.3">
      <c r="A729" s="117"/>
      <c r="B729" s="110"/>
      <c r="C729" s="117"/>
      <c r="D729" s="117"/>
    </row>
    <row r="730" spans="1:4" x14ac:dyDescent="0.3">
      <c r="A730" s="117"/>
      <c r="B730" s="110"/>
      <c r="C730" s="117"/>
      <c r="D730" s="117"/>
    </row>
    <row r="731" spans="1:4" x14ac:dyDescent="0.3">
      <c r="A731" s="117"/>
      <c r="B731" s="110"/>
      <c r="C731" s="117"/>
      <c r="D731" s="117"/>
    </row>
    <row r="732" spans="1:4" x14ac:dyDescent="0.3">
      <c r="A732" s="117"/>
      <c r="B732" s="110"/>
      <c r="C732" s="117"/>
      <c r="D732" s="117"/>
    </row>
    <row r="733" spans="1:4" x14ac:dyDescent="0.3">
      <c r="A733" s="117"/>
      <c r="B733" s="110"/>
      <c r="C733" s="117"/>
      <c r="D733" s="117"/>
    </row>
    <row r="734" spans="1:4" x14ac:dyDescent="0.3">
      <c r="A734" s="117"/>
      <c r="B734" s="110"/>
      <c r="C734" s="117"/>
      <c r="D734" s="117"/>
    </row>
    <row r="735" spans="1:4" x14ac:dyDescent="0.3">
      <c r="A735" s="117"/>
      <c r="B735" s="110"/>
      <c r="C735" s="117"/>
      <c r="D735" s="117"/>
    </row>
    <row r="736" spans="1:4" x14ac:dyDescent="0.3">
      <c r="A736" s="117"/>
      <c r="B736" s="110"/>
      <c r="C736" s="117"/>
      <c r="D736" s="117"/>
    </row>
    <row r="737" spans="1:4" x14ac:dyDescent="0.3">
      <c r="A737" s="117"/>
      <c r="B737" s="110"/>
      <c r="C737" s="117"/>
      <c r="D737" s="117"/>
    </row>
    <row r="738" spans="1:4" x14ac:dyDescent="0.3">
      <c r="A738" s="117"/>
      <c r="B738" s="110"/>
      <c r="C738" s="117"/>
      <c r="D738" s="117"/>
    </row>
    <row r="739" spans="1:4" x14ac:dyDescent="0.3">
      <c r="A739" s="117"/>
      <c r="B739" s="110"/>
      <c r="C739" s="117"/>
      <c r="D739" s="117"/>
    </row>
    <row r="740" spans="1:4" x14ac:dyDescent="0.3">
      <c r="A740" s="117"/>
      <c r="B740" s="110"/>
      <c r="C740" s="117"/>
      <c r="D740" s="117"/>
    </row>
    <row r="741" spans="1:4" x14ac:dyDescent="0.3">
      <c r="A741" s="117"/>
      <c r="B741" s="110"/>
      <c r="C741" s="117"/>
      <c r="D741" s="117"/>
    </row>
    <row r="742" spans="1:4" x14ac:dyDescent="0.3">
      <c r="A742" s="117"/>
      <c r="B742" s="110"/>
      <c r="C742" s="117"/>
      <c r="D742" s="117"/>
    </row>
    <row r="743" spans="1:4" x14ac:dyDescent="0.3">
      <c r="A743" s="117"/>
      <c r="B743" s="110"/>
      <c r="C743" s="117"/>
      <c r="D743" s="117"/>
    </row>
    <row r="744" spans="1:4" x14ac:dyDescent="0.3">
      <c r="A744" s="117"/>
      <c r="B744" s="110"/>
      <c r="C744" s="117"/>
      <c r="D744" s="117"/>
    </row>
    <row r="745" spans="1:4" x14ac:dyDescent="0.3">
      <c r="A745" s="117"/>
      <c r="B745" s="110"/>
      <c r="C745" s="117"/>
      <c r="D745" s="117"/>
    </row>
    <row r="746" spans="1:4" x14ac:dyDescent="0.3">
      <c r="A746" s="117"/>
      <c r="B746" s="110"/>
      <c r="C746" s="117"/>
      <c r="D746" s="117"/>
    </row>
    <row r="747" spans="1:4" x14ac:dyDescent="0.3">
      <c r="A747" s="117"/>
      <c r="B747" s="110"/>
      <c r="C747" s="117"/>
      <c r="D747" s="117"/>
    </row>
    <row r="748" spans="1:4" x14ac:dyDescent="0.3">
      <c r="A748" s="117"/>
      <c r="B748" s="110"/>
      <c r="C748" s="117"/>
      <c r="D748" s="117"/>
    </row>
    <row r="749" spans="1:4" x14ac:dyDescent="0.3">
      <c r="A749" s="117"/>
      <c r="B749" s="110"/>
      <c r="C749" s="117"/>
      <c r="D749" s="117"/>
    </row>
    <row r="750" spans="1:4" x14ac:dyDescent="0.3">
      <c r="A750" s="117"/>
      <c r="B750" s="110"/>
      <c r="C750" s="117"/>
      <c r="D750" s="117"/>
    </row>
    <row r="751" spans="1:4" x14ac:dyDescent="0.3">
      <c r="A751" s="117"/>
      <c r="B751" s="110"/>
      <c r="C751" s="117"/>
      <c r="D751" s="117"/>
    </row>
    <row r="752" spans="1:4" x14ac:dyDescent="0.3">
      <c r="A752" s="117"/>
      <c r="B752" s="110"/>
      <c r="C752" s="117"/>
      <c r="D752" s="117"/>
    </row>
    <row r="753" spans="1:4" x14ac:dyDescent="0.3">
      <c r="A753" s="117"/>
      <c r="B753" s="110"/>
      <c r="C753" s="117"/>
      <c r="D753" s="117"/>
    </row>
    <row r="754" spans="1:4" x14ac:dyDescent="0.3">
      <c r="A754" s="117"/>
      <c r="B754" s="110"/>
      <c r="C754" s="117"/>
      <c r="D754" s="117"/>
    </row>
    <row r="755" spans="1:4" x14ac:dyDescent="0.3">
      <c r="A755" s="117"/>
      <c r="B755" s="110"/>
      <c r="C755" s="117"/>
      <c r="D755" s="117"/>
    </row>
    <row r="756" spans="1:4" x14ac:dyDescent="0.3">
      <c r="A756" s="117"/>
      <c r="B756" s="110"/>
      <c r="C756" s="117"/>
      <c r="D756" s="117"/>
    </row>
    <row r="757" spans="1:4" x14ac:dyDescent="0.3">
      <c r="A757" s="117"/>
      <c r="B757" s="110"/>
      <c r="C757" s="117"/>
      <c r="D757" s="117"/>
    </row>
    <row r="758" spans="1:4" x14ac:dyDescent="0.3">
      <c r="A758" s="117"/>
      <c r="B758" s="110"/>
      <c r="C758" s="117"/>
      <c r="D758" s="117"/>
    </row>
    <row r="759" spans="1:4" x14ac:dyDescent="0.3">
      <c r="A759" s="117"/>
      <c r="B759" s="110"/>
      <c r="C759" s="117"/>
      <c r="D759" s="117"/>
    </row>
    <row r="760" spans="1:4" x14ac:dyDescent="0.3">
      <c r="A760" s="117"/>
      <c r="B760" s="110"/>
      <c r="C760" s="117"/>
      <c r="D760" s="117"/>
    </row>
    <row r="761" spans="1:4" x14ac:dyDescent="0.3">
      <c r="A761" s="117"/>
      <c r="B761" s="110"/>
      <c r="C761" s="117"/>
      <c r="D761" s="117"/>
    </row>
    <row r="762" spans="1:4" x14ac:dyDescent="0.3">
      <c r="A762" s="117"/>
      <c r="B762" s="110"/>
      <c r="C762" s="117"/>
      <c r="D762" s="117"/>
    </row>
    <row r="763" spans="1:4" x14ac:dyDescent="0.3">
      <c r="A763" s="117"/>
      <c r="B763" s="110"/>
      <c r="C763" s="117"/>
      <c r="D763" s="117"/>
    </row>
    <row r="764" spans="1:4" x14ac:dyDescent="0.3">
      <c r="A764" s="117"/>
      <c r="B764" s="110"/>
      <c r="C764" s="117"/>
      <c r="D764" s="117"/>
    </row>
    <row r="765" spans="1:4" x14ac:dyDescent="0.3">
      <c r="A765" s="117"/>
      <c r="B765" s="110"/>
      <c r="C765" s="117"/>
      <c r="D765" s="117"/>
    </row>
    <row r="766" spans="1:4" x14ac:dyDescent="0.3">
      <c r="A766" s="117"/>
      <c r="B766" s="110"/>
      <c r="C766" s="117"/>
      <c r="D766" s="117"/>
    </row>
    <row r="767" spans="1:4" x14ac:dyDescent="0.3">
      <c r="A767" s="117"/>
      <c r="B767" s="110"/>
      <c r="C767" s="117"/>
      <c r="D767" s="117"/>
    </row>
    <row r="768" spans="1:4" x14ac:dyDescent="0.3">
      <c r="A768" s="117"/>
      <c r="B768" s="110"/>
      <c r="C768" s="117"/>
      <c r="D768" s="117"/>
    </row>
    <row r="769" spans="1:4" x14ac:dyDescent="0.3">
      <c r="A769" s="117"/>
      <c r="B769" s="110"/>
      <c r="C769" s="117"/>
      <c r="D769" s="117"/>
    </row>
    <row r="770" spans="1:4" x14ac:dyDescent="0.3">
      <c r="A770" s="117"/>
      <c r="B770" s="110"/>
      <c r="C770" s="117"/>
      <c r="D770" s="117"/>
    </row>
    <row r="771" spans="1:4" x14ac:dyDescent="0.3">
      <c r="A771" s="117"/>
      <c r="B771" s="110"/>
      <c r="C771" s="117"/>
      <c r="D771" s="117"/>
    </row>
    <row r="772" spans="1:4" x14ac:dyDescent="0.3">
      <c r="A772" s="117"/>
      <c r="B772" s="110"/>
      <c r="C772" s="117"/>
      <c r="D772" s="117"/>
    </row>
    <row r="773" spans="1:4" x14ac:dyDescent="0.3">
      <c r="A773" s="117"/>
      <c r="B773" s="110"/>
      <c r="C773" s="117"/>
      <c r="D773" s="117"/>
    </row>
    <row r="774" spans="1:4" x14ac:dyDescent="0.3">
      <c r="A774" s="117"/>
      <c r="B774" s="110"/>
      <c r="C774" s="117"/>
      <c r="D774" s="117"/>
    </row>
    <row r="775" spans="1:4" x14ac:dyDescent="0.3">
      <c r="A775" s="117"/>
      <c r="B775" s="110"/>
      <c r="C775" s="117"/>
      <c r="D775" s="117"/>
    </row>
    <row r="776" spans="1:4" x14ac:dyDescent="0.3">
      <c r="A776" s="117"/>
      <c r="B776" s="110"/>
      <c r="C776" s="117"/>
      <c r="D776" s="117"/>
    </row>
    <row r="777" spans="1:4" x14ac:dyDescent="0.3">
      <c r="A777" s="117"/>
      <c r="B777" s="110"/>
      <c r="C777" s="117"/>
      <c r="D777" s="117"/>
    </row>
    <row r="778" spans="1:4" x14ac:dyDescent="0.3">
      <c r="A778" s="117"/>
      <c r="B778" s="110"/>
      <c r="C778" s="117"/>
      <c r="D778" s="117"/>
    </row>
    <row r="779" spans="1:4" x14ac:dyDescent="0.3">
      <c r="A779" s="117"/>
      <c r="B779" s="110"/>
      <c r="C779" s="117"/>
      <c r="D779" s="117"/>
    </row>
    <row r="780" spans="1:4" x14ac:dyDescent="0.3">
      <c r="A780" s="117"/>
      <c r="B780" s="110"/>
      <c r="C780" s="117"/>
      <c r="D780" s="117"/>
    </row>
    <row r="781" spans="1:4" x14ac:dyDescent="0.3">
      <c r="A781" s="117"/>
      <c r="B781" s="110"/>
      <c r="C781" s="117"/>
      <c r="D781" s="117"/>
    </row>
    <row r="782" spans="1:4" x14ac:dyDescent="0.3">
      <c r="A782" s="117"/>
      <c r="B782" s="110"/>
      <c r="C782" s="117"/>
      <c r="D782" s="117"/>
    </row>
    <row r="783" spans="1:4" x14ac:dyDescent="0.3">
      <c r="A783" s="117"/>
      <c r="B783" s="110"/>
      <c r="C783" s="117"/>
      <c r="D783" s="117"/>
    </row>
    <row r="784" spans="1:4" x14ac:dyDescent="0.3">
      <c r="A784" s="117"/>
      <c r="B784" s="110"/>
      <c r="C784" s="117"/>
      <c r="D784" s="117"/>
    </row>
    <row r="785" spans="1:4" x14ac:dyDescent="0.3">
      <c r="A785" s="117"/>
      <c r="B785" s="110"/>
      <c r="C785" s="117"/>
      <c r="D785" s="117"/>
    </row>
    <row r="786" spans="1:4" x14ac:dyDescent="0.3">
      <c r="A786" s="117"/>
      <c r="B786" s="110"/>
      <c r="C786" s="117"/>
      <c r="D786" s="117"/>
    </row>
    <row r="787" spans="1:4" x14ac:dyDescent="0.3">
      <c r="A787" s="117"/>
      <c r="B787" s="110"/>
      <c r="C787" s="117"/>
      <c r="D787" s="117"/>
    </row>
    <row r="788" spans="1:4" x14ac:dyDescent="0.3">
      <c r="A788" s="117"/>
      <c r="B788" s="110"/>
      <c r="C788" s="117"/>
      <c r="D788" s="117"/>
    </row>
    <row r="789" spans="1:4" x14ac:dyDescent="0.3">
      <c r="A789" s="117"/>
      <c r="B789" s="110"/>
      <c r="C789" s="117"/>
      <c r="D789" s="117"/>
    </row>
    <row r="790" spans="1:4" x14ac:dyDescent="0.3">
      <c r="A790" s="117"/>
      <c r="B790" s="110"/>
      <c r="C790" s="117"/>
      <c r="D790" s="117"/>
    </row>
    <row r="791" spans="1:4" x14ac:dyDescent="0.3">
      <c r="A791" s="117"/>
      <c r="B791" s="110"/>
      <c r="C791" s="117"/>
      <c r="D791" s="117"/>
    </row>
    <row r="792" spans="1:4" x14ac:dyDescent="0.3">
      <c r="A792" s="117"/>
      <c r="B792" s="110"/>
      <c r="C792" s="117"/>
      <c r="D792" s="117"/>
    </row>
    <row r="793" spans="1:4" x14ac:dyDescent="0.3">
      <c r="A793" s="117"/>
      <c r="B793" s="110"/>
      <c r="C793" s="117"/>
      <c r="D793" s="117"/>
    </row>
    <row r="794" spans="1:4" x14ac:dyDescent="0.3">
      <c r="A794" s="117"/>
      <c r="B794" s="110"/>
      <c r="C794" s="117"/>
      <c r="D794" s="117"/>
    </row>
    <row r="795" spans="1:4" x14ac:dyDescent="0.3">
      <c r="A795" s="117"/>
      <c r="B795" s="110"/>
      <c r="C795" s="117"/>
      <c r="D795" s="117"/>
    </row>
    <row r="796" spans="1:4" x14ac:dyDescent="0.3">
      <c r="A796" s="117"/>
      <c r="B796" s="110"/>
      <c r="C796" s="117"/>
      <c r="D796" s="117"/>
    </row>
    <row r="797" spans="1:4" x14ac:dyDescent="0.3">
      <c r="A797" s="117"/>
      <c r="B797" s="110"/>
      <c r="C797" s="117"/>
      <c r="D797" s="117"/>
    </row>
    <row r="798" spans="1:4" x14ac:dyDescent="0.3">
      <c r="A798" s="117"/>
      <c r="B798" s="110"/>
      <c r="C798" s="117"/>
      <c r="D798" s="117"/>
    </row>
    <row r="799" spans="1:4" x14ac:dyDescent="0.3">
      <c r="A799" s="117"/>
      <c r="B799" s="110"/>
      <c r="C799" s="117"/>
      <c r="D799" s="117"/>
    </row>
    <row r="800" spans="1:4" x14ac:dyDescent="0.3">
      <c r="A800" s="117"/>
      <c r="B800" s="110"/>
      <c r="C800" s="117"/>
      <c r="D800" s="117"/>
    </row>
    <row r="801" spans="1:4" x14ac:dyDescent="0.3">
      <c r="A801" s="117"/>
      <c r="B801" s="110"/>
      <c r="C801" s="117"/>
      <c r="D801" s="117"/>
    </row>
    <row r="802" spans="1:4" x14ac:dyDescent="0.3">
      <c r="A802" s="117"/>
      <c r="B802" s="110"/>
      <c r="C802" s="117"/>
      <c r="D802" s="117"/>
    </row>
    <row r="803" spans="1:4" x14ac:dyDescent="0.3">
      <c r="A803" s="117"/>
      <c r="B803" s="110"/>
      <c r="C803" s="117"/>
      <c r="D803" s="117"/>
    </row>
    <row r="804" spans="1:4" x14ac:dyDescent="0.3">
      <c r="A804" s="117"/>
      <c r="B804" s="110"/>
      <c r="C804" s="117"/>
      <c r="D804" s="117"/>
    </row>
    <row r="805" spans="1:4" x14ac:dyDescent="0.3">
      <c r="A805" s="117"/>
      <c r="B805" s="110"/>
      <c r="C805" s="117"/>
      <c r="D805" s="117"/>
    </row>
    <row r="806" spans="1:4" x14ac:dyDescent="0.3">
      <c r="A806" s="117"/>
      <c r="B806" s="110"/>
      <c r="C806" s="117"/>
      <c r="D806" s="117"/>
    </row>
    <row r="807" spans="1:4" x14ac:dyDescent="0.3">
      <c r="A807" s="117"/>
      <c r="B807" s="110"/>
      <c r="C807" s="117"/>
      <c r="D807" s="117"/>
    </row>
    <row r="808" spans="1:4" x14ac:dyDescent="0.3">
      <c r="A808" s="117"/>
      <c r="B808" s="110"/>
      <c r="C808" s="117"/>
      <c r="D808" s="117"/>
    </row>
    <row r="809" spans="1:4" x14ac:dyDescent="0.3">
      <c r="A809" s="117"/>
      <c r="B809" s="110"/>
      <c r="C809" s="117"/>
      <c r="D809" s="117"/>
    </row>
    <row r="810" spans="1:4" x14ac:dyDescent="0.3">
      <c r="A810" s="117"/>
      <c r="B810" s="110"/>
      <c r="C810" s="117"/>
      <c r="D810" s="117"/>
    </row>
    <row r="811" spans="1:4" x14ac:dyDescent="0.3">
      <c r="A811" s="117"/>
      <c r="B811" s="110"/>
      <c r="C811" s="117"/>
      <c r="D811" s="117"/>
    </row>
    <row r="812" spans="1:4" x14ac:dyDescent="0.3">
      <c r="A812" s="117"/>
      <c r="B812" s="110"/>
      <c r="C812" s="117"/>
      <c r="D812" s="117"/>
    </row>
    <row r="813" spans="1:4" x14ac:dyDescent="0.3">
      <c r="A813" s="117"/>
      <c r="B813" s="110"/>
      <c r="C813" s="117"/>
      <c r="D813" s="117"/>
    </row>
    <row r="814" spans="1:4" x14ac:dyDescent="0.3">
      <c r="A814" s="117"/>
      <c r="B814" s="110"/>
      <c r="C814" s="117"/>
      <c r="D814" s="117"/>
    </row>
    <row r="815" spans="1:4" x14ac:dyDescent="0.3">
      <c r="A815" s="117"/>
      <c r="B815" s="110"/>
      <c r="C815" s="117"/>
      <c r="D815" s="117"/>
    </row>
    <row r="816" spans="1:4" x14ac:dyDescent="0.3">
      <c r="A816" s="117"/>
      <c r="B816" s="110"/>
      <c r="C816" s="117"/>
      <c r="D816" s="117"/>
    </row>
    <row r="817" spans="1:4" x14ac:dyDescent="0.3">
      <c r="A817" s="117"/>
      <c r="B817" s="110"/>
      <c r="C817" s="117"/>
      <c r="D817" s="117"/>
    </row>
    <row r="818" spans="1:4" x14ac:dyDescent="0.3">
      <c r="A818" s="117"/>
      <c r="B818" s="110"/>
      <c r="C818" s="117"/>
      <c r="D818" s="117"/>
    </row>
    <row r="819" spans="1:4" x14ac:dyDescent="0.3">
      <c r="A819" s="117"/>
      <c r="B819" s="110"/>
      <c r="C819" s="117"/>
      <c r="D819" s="117"/>
    </row>
    <row r="820" spans="1:4" x14ac:dyDescent="0.3">
      <c r="A820" s="117"/>
      <c r="B820" s="110"/>
      <c r="C820" s="117"/>
      <c r="D820" s="117"/>
    </row>
    <row r="821" spans="1:4" x14ac:dyDescent="0.3">
      <c r="A821" s="117"/>
      <c r="B821" s="110"/>
      <c r="C821" s="117"/>
      <c r="D821" s="117"/>
    </row>
    <row r="822" spans="1:4" x14ac:dyDescent="0.3">
      <c r="A822" s="117"/>
      <c r="B822" s="110"/>
      <c r="C822" s="117"/>
      <c r="D822" s="117"/>
    </row>
    <row r="823" spans="1:4" x14ac:dyDescent="0.3">
      <c r="A823" s="117"/>
      <c r="B823" s="110"/>
      <c r="C823" s="117"/>
      <c r="D823" s="117"/>
    </row>
    <row r="824" spans="1:4" x14ac:dyDescent="0.3">
      <c r="A824" s="117"/>
      <c r="B824" s="110"/>
      <c r="C824" s="117"/>
      <c r="D824" s="117"/>
    </row>
    <row r="825" spans="1:4" x14ac:dyDescent="0.3">
      <c r="A825" s="117"/>
      <c r="B825" s="110"/>
      <c r="C825" s="117"/>
      <c r="D825" s="117"/>
    </row>
    <row r="826" spans="1:4" x14ac:dyDescent="0.3">
      <c r="A826" s="117"/>
      <c r="B826" s="110"/>
      <c r="C826" s="117"/>
      <c r="D826" s="117"/>
    </row>
    <row r="827" spans="1:4" x14ac:dyDescent="0.3">
      <c r="A827" s="117"/>
      <c r="B827" s="110"/>
      <c r="C827" s="117"/>
      <c r="D827" s="117"/>
    </row>
    <row r="828" spans="1:4" x14ac:dyDescent="0.3">
      <c r="A828" s="117"/>
      <c r="B828" s="110"/>
      <c r="C828" s="117"/>
      <c r="D828" s="117"/>
    </row>
    <row r="829" spans="1:4" x14ac:dyDescent="0.3">
      <c r="A829" s="117"/>
      <c r="B829" s="110"/>
      <c r="C829" s="117"/>
      <c r="D829" s="117"/>
    </row>
    <row r="830" spans="1:4" x14ac:dyDescent="0.3">
      <c r="A830" s="117"/>
      <c r="B830" s="110"/>
      <c r="C830" s="117"/>
      <c r="D830" s="117"/>
    </row>
    <row r="831" spans="1:4" x14ac:dyDescent="0.3">
      <c r="A831" s="117"/>
      <c r="B831" s="110"/>
      <c r="C831" s="117"/>
      <c r="D831" s="117"/>
    </row>
    <row r="832" spans="1:4" x14ac:dyDescent="0.3">
      <c r="A832" s="117"/>
      <c r="B832" s="110"/>
      <c r="C832" s="117"/>
      <c r="D832" s="117"/>
    </row>
    <row r="833" spans="1:4" x14ac:dyDescent="0.3">
      <c r="A833" s="117"/>
      <c r="B833" s="110"/>
      <c r="C833" s="117"/>
      <c r="D833" s="117"/>
    </row>
    <row r="834" spans="1:4" x14ac:dyDescent="0.3">
      <c r="A834" s="117"/>
      <c r="B834" s="110"/>
      <c r="C834" s="117"/>
      <c r="D834" s="117"/>
    </row>
    <row r="835" spans="1:4" x14ac:dyDescent="0.3">
      <c r="A835" s="117"/>
      <c r="B835" s="110"/>
      <c r="C835" s="117"/>
      <c r="D835" s="117"/>
    </row>
    <row r="836" spans="1:4" x14ac:dyDescent="0.3">
      <c r="A836" s="117"/>
      <c r="B836" s="110"/>
      <c r="C836" s="117"/>
      <c r="D836" s="117"/>
    </row>
    <row r="837" spans="1:4" x14ac:dyDescent="0.3">
      <c r="A837" s="117"/>
      <c r="B837" s="110"/>
      <c r="C837" s="117"/>
      <c r="D837" s="117"/>
    </row>
    <row r="838" spans="1:4" x14ac:dyDescent="0.3">
      <c r="A838" s="117"/>
      <c r="B838" s="110"/>
      <c r="C838" s="117"/>
      <c r="D838" s="117"/>
    </row>
    <row r="839" spans="1:4" x14ac:dyDescent="0.3">
      <c r="A839" s="117"/>
      <c r="B839" s="110"/>
      <c r="C839" s="117"/>
      <c r="D839" s="117"/>
    </row>
    <row r="840" spans="1:4" x14ac:dyDescent="0.3">
      <c r="A840" s="117"/>
      <c r="B840" s="110"/>
      <c r="C840" s="117"/>
      <c r="D840" s="117"/>
    </row>
    <row r="841" spans="1:4" x14ac:dyDescent="0.3">
      <c r="A841" s="117"/>
      <c r="B841" s="110"/>
      <c r="C841" s="117"/>
      <c r="D841" s="117"/>
    </row>
    <row r="842" spans="1:4" x14ac:dyDescent="0.3">
      <c r="A842" s="117"/>
      <c r="B842" s="110"/>
      <c r="C842" s="117"/>
      <c r="D842" s="117"/>
    </row>
    <row r="843" spans="1:4" x14ac:dyDescent="0.3">
      <c r="A843" s="117"/>
      <c r="B843" s="110"/>
      <c r="C843" s="117"/>
      <c r="D843" s="117"/>
    </row>
    <row r="844" spans="1:4" x14ac:dyDescent="0.3">
      <c r="A844" s="117"/>
      <c r="B844" s="110"/>
      <c r="C844" s="117"/>
      <c r="D844" s="117"/>
    </row>
    <row r="845" spans="1:4" x14ac:dyDescent="0.3">
      <c r="A845" s="117"/>
      <c r="B845" s="110"/>
      <c r="C845" s="117"/>
      <c r="D845" s="117"/>
    </row>
    <row r="846" spans="1:4" x14ac:dyDescent="0.3">
      <c r="A846" s="117"/>
      <c r="B846" s="110"/>
      <c r="C846" s="117"/>
      <c r="D846" s="117"/>
    </row>
    <row r="847" spans="1:4" x14ac:dyDescent="0.3">
      <c r="A847" s="117"/>
      <c r="B847" s="110"/>
      <c r="C847" s="117"/>
      <c r="D847" s="117"/>
    </row>
    <row r="848" spans="1:4" x14ac:dyDescent="0.3">
      <c r="A848" s="117"/>
      <c r="B848" s="110"/>
      <c r="C848" s="117"/>
      <c r="D848" s="117"/>
    </row>
    <row r="849" spans="1:4" x14ac:dyDescent="0.3">
      <c r="A849" s="117"/>
      <c r="B849" s="110"/>
      <c r="C849" s="117"/>
      <c r="D849" s="117"/>
    </row>
    <row r="850" spans="1:4" x14ac:dyDescent="0.3">
      <c r="A850" s="117"/>
      <c r="B850" s="110"/>
      <c r="C850" s="117"/>
      <c r="D850" s="117"/>
    </row>
    <row r="851" spans="1:4" x14ac:dyDescent="0.3">
      <c r="A851" s="117"/>
      <c r="B851" s="110"/>
      <c r="C851" s="117"/>
      <c r="D851" s="117"/>
    </row>
    <row r="852" spans="1:4" x14ac:dyDescent="0.3">
      <c r="A852" s="117"/>
      <c r="B852" s="110"/>
      <c r="C852" s="117"/>
      <c r="D852" s="117"/>
    </row>
    <row r="853" spans="1:4" x14ac:dyDescent="0.3">
      <c r="A853" s="117"/>
      <c r="B853" s="110"/>
      <c r="C853" s="117"/>
      <c r="D853" s="117"/>
    </row>
    <row r="854" spans="1:4" x14ac:dyDescent="0.3">
      <c r="A854" s="117"/>
      <c r="B854" s="110"/>
      <c r="C854" s="117"/>
      <c r="D854" s="117"/>
    </row>
    <row r="855" spans="1:4" x14ac:dyDescent="0.3">
      <c r="A855" s="117"/>
      <c r="B855" s="110"/>
      <c r="C855" s="117"/>
      <c r="D855" s="117"/>
    </row>
    <row r="856" spans="1:4" x14ac:dyDescent="0.3">
      <c r="A856" s="117"/>
      <c r="B856" s="110"/>
      <c r="C856" s="117"/>
      <c r="D856" s="117"/>
    </row>
    <row r="857" spans="1:4" x14ac:dyDescent="0.3">
      <c r="A857" s="117"/>
      <c r="B857" s="110"/>
      <c r="C857" s="117"/>
      <c r="D857" s="117"/>
    </row>
    <row r="858" spans="1:4" x14ac:dyDescent="0.3">
      <c r="A858" s="117"/>
      <c r="B858" s="110"/>
      <c r="C858" s="117"/>
      <c r="D858" s="117"/>
    </row>
    <row r="859" spans="1:4" x14ac:dyDescent="0.3">
      <c r="A859" s="117"/>
      <c r="B859" s="110"/>
      <c r="C859" s="117"/>
      <c r="D859" s="117"/>
    </row>
    <row r="860" spans="1:4" x14ac:dyDescent="0.3">
      <c r="A860" s="117"/>
      <c r="B860" s="110"/>
      <c r="C860" s="117"/>
      <c r="D860" s="117"/>
    </row>
    <row r="861" spans="1:4" x14ac:dyDescent="0.3">
      <c r="A861" s="117"/>
      <c r="B861" s="110"/>
      <c r="C861" s="117"/>
      <c r="D861" s="117"/>
    </row>
    <row r="862" spans="1:4" x14ac:dyDescent="0.3">
      <c r="A862" s="117"/>
      <c r="B862" s="110"/>
      <c r="C862" s="117"/>
      <c r="D862" s="117"/>
    </row>
    <row r="863" spans="1:4" x14ac:dyDescent="0.3">
      <c r="A863" s="117"/>
      <c r="B863" s="110"/>
      <c r="C863" s="117"/>
      <c r="D863" s="117"/>
    </row>
    <row r="864" spans="1:4" x14ac:dyDescent="0.3">
      <c r="A864" s="117"/>
      <c r="B864" s="110"/>
      <c r="C864" s="117"/>
      <c r="D864" s="117"/>
    </row>
    <row r="865" spans="1:4" x14ac:dyDescent="0.3">
      <c r="A865" s="117"/>
      <c r="B865" s="110"/>
      <c r="C865" s="117"/>
      <c r="D865" s="117"/>
    </row>
    <row r="866" spans="1:4" x14ac:dyDescent="0.3">
      <c r="A866" s="117"/>
      <c r="B866" s="110"/>
      <c r="C866" s="117"/>
      <c r="D866" s="117"/>
    </row>
    <row r="867" spans="1:4" x14ac:dyDescent="0.3">
      <c r="A867" s="117"/>
      <c r="B867" s="110"/>
      <c r="C867" s="117"/>
      <c r="D867" s="117"/>
    </row>
    <row r="868" spans="1:4" x14ac:dyDescent="0.3">
      <c r="A868" s="117"/>
      <c r="B868" s="110"/>
      <c r="C868" s="117"/>
      <c r="D868" s="117"/>
    </row>
    <row r="869" spans="1:4" x14ac:dyDescent="0.3">
      <c r="A869" s="117"/>
      <c r="B869" s="110"/>
      <c r="C869" s="117"/>
      <c r="D869" s="117"/>
    </row>
    <row r="870" spans="1:4" x14ac:dyDescent="0.3">
      <c r="A870" s="117"/>
      <c r="B870" s="110"/>
      <c r="C870" s="117"/>
      <c r="D870" s="117"/>
    </row>
    <row r="871" spans="1:4" x14ac:dyDescent="0.3">
      <c r="A871" s="117"/>
      <c r="B871" s="110"/>
      <c r="C871" s="117"/>
      <c r="D871" s="117"/>
    </row>
    <row r="872" spans="1:4" x14ac:dyDescent="0.3">
      <c r="A872" s="117"/>
      <c r="B872" s="110"/>
      <c r="C872" s="117"/>
      <c r="D872" s="117"/>
    </row>
    <row r="873" spans="1:4" x14ac:dyDescent="0.3">
      <c r="A873" s="117"/>
      <c r="B873" s="110"/>
      <c r="C873" s="117"/>
      <c r="D873" s="117"/>
    </row>
    <row r="874" spans="1:4" x14ac:dyDescent="0.3">
      <c r="A874" s="117"/>
      <c r="B874" s="110"/>
      <c r="C874" s="117"/>
      <c r="D874" s="117"/>
    </row>
    <row r="875" spans="1:4" x14ac:dyDescent="0.3">
      <c r="A875" s="117"/>
      <c r="B875" s="110"/>
      <c r="C875" s="117"/>
      <c r="D875" s="117"/>
    </row>
    <row r="876" spans="1:4" x14ac:dyDescent="0.3">
      <c r="A876" s="117"/>
      <c r="B876" s="110"/>
      <c r="C876" s="117"/>
      <c r="D876" s="117"/>
    </row>
    <row r="877" spans="1:4" x14ac:dyDescent="0.3">
      <c r="A877" s="117"/>
      <c r="B877" s="110"/>
      <c r="C877" s="117"/>
      <c r="D877" s="117"/>
    </row>
    <row r="878" spans="1:4" x14ac:dyDescent="0.3">
      <c r="A878" s="117"/>
      <c r="B878" s="110"/>
      <c r="C878" s="117"/>
      <c r="D878" s="117"/>
    </row>
    <row r="879" spans="1:4" x14ac:dyDescent="0.3">
      <c r="A879" s="117"/>
      <c r="B879" s="110"/>
      <c r="C879" s="117"/>
      <c r="D879" s="117"/>
    </row>
    <row r="880" spans="1:4" x14ac:dyDescent="0.3">
      <c r="A880" s="117"/>
      <c r="B880" s="110"/>
      <c r="C880" s="117"/>
      <c r="D880" s="117"/>
    </row>
    <row r="881" spans="1:4" x14ac:dyDescent="0.3">
      <c r="A881" s="117"/>
      <c r="B881" s="110"/>
      <c r="C881" s="117"/>
      <c r="D881" s="117"/>
    </row>
    <row r="882" spans="1:4" x14ac:dyDescent="0.3">
      <c r="A882" s="117"/>
      <c r="B882" s="110"/>
      <c r="C882" s="117"/>
      <c r="D882" s="117"/>
    </row>
    <row r="883" spans="1:4" x14ac:dyDescent="0.3">
      <c r="A883" s="117"/>
      <c r="B883" s="110"/>
      <c r="C883" s="117"/>
      <c r="D883" s="117"/>
    </row>
    <row r="884" spans="1:4" x14ac:dyDescent="0.3">
      <c r="A884" s="117"/>
      <c r="B884" s="110"/>
      <c r="C884" s="117"/>
      <c r="D884" s="117"/>
    </row>
    <row r="885" spans="1:4" x14ac:dyDescent="0.3">
      <c r="A885" s="117"/>
      <c r="B885" s="110"/>
      <c r="C885" s="117"/>
      <c r="D885" s="117"/>
    </row>
    <row r="886" spans="1:4" x14ac:dyDescent="0.3">
      <c r="A886" s="117"/>
      <c r="B886" s="110"/>
      <c r="C886" s="117"/>
      <c r="D886" s="117"/>
    </row>
    <row r="887" spans="1:4" x14ac:dyDescent="0.3">
      <c r="A887" s="117"/>
      <c r="B887" s="110"/>
      <c r="C887" s="117"/>
      <c r="D887" s="117"/>
    </row>
    <row r="888" spans="1:4" x14ac:dyDescent="0.3">
      <c r="A888" s="117"/>
      <c r="B888" s="110"/>
      <c r="C888" s="117"/>
      <c r="D888" s="117"/>
    </row>
    <row r="889" spans="1:4" x14ac:dyDescent="0.3">
      <c r="A889" s="117"/>
      <c r="B889" s="110"/>
      <c r="C889" s="117"/>
      <c r="D889" s="117"/>
    </row>
    <row r="890" spans="1:4" x14ac:dyDescent="0.3">
      <c r="A890" s="117"/>
      <c r="B890" s="110"/>
      <c r="C890" s="117"/>
      <c r="D890" s="117"/>
    </row>
    <row r="891" spans="1:4" x14ac:dyDescent="0.3">
      <c r="A891" s="117"/>
      <c r="B891" s="110"/>
      <c r="C891" s="117"/>
      <c r="D891" s="117"/>
    </row>
    <row r="892" spans="1:4" x14ac:dyDescent="0.3">
      <c r="A892" s="117"/>
      <c r="B892" s="110"/>
      <c r="C892" s="117"/>
      <c r="D892" s="117"/>
    </row>
    <row r="893" spans="1:4" x14ac:dyDescent="0.3">
      <c r="A893" s="117"/>
      <c r="B893" s="110"/>
      <c r="C893" s="117"/>
      <c r="D893" s="117"/>
    </row>
    <row r="894" spans="1:4" x14ac:dyDescent="0.3">
      <c r="A894" s="117"/>
      <c r="B894" s="110"/>
      <c r="C894" s="117"/>
      <c r="D894" s="117"/>
    </row>
    <row r="895" spans="1:4" x14ac:dyDescent="0.3">
      <c r="A895" s="117"/>
      <c r="B895" s="110"/>
      <c r="C895" s="117"/>
      <c r="D895" s="117"/>
    </row>
    <row r="896" spans="1:4" x14ac:dyDescent="0.3">
      <c r="A896" s="117"/>
      <c r="B896" s="110"/>
      <c r="C896" s="117"/>
      <c r="D896" s="117"/>
    </row>
    <row r="897" spans="1:4" x14ac:dyDescent="0.3">
      <c r="A897" s="117"/>
      <c r="B897" s="110"/>
      <c r="C897" s="117"/>
      <c r="D897" s="117"/>
    </row>
    <row r="898" spans="1:4" x14ac:dyDescent="0.3">
      <c r="A898" s="117"/>
      <c r="B898" s="110"/>
      <c r="C898" s="117"/>
      <c r="D898" s="117"/>
    </row>
    <row r="899" spans="1:4" x14ac:dyDescent="0.3">
      <c r="A899" s="117"/>
      <c r="B899" s="110"/>
      <c r="C899" s="117"/>
      <c r="D899" s="117"/>
    </row>
    <row r="900" spans="1:4" x14ac:dyDescent="0.3">
      <c r="A900" s="117"/>
      <c r="B900" s="110"/>
      <c r="C900" s="117"/>
      <c r="D900" s="117"/>
    </row>
    <row r="901" spans="1:4" x14ac:dyDescent="0.3">
      <c r="A901" s="117"/>
      <c r="B901" s="110"/>
      <c r="C901" s="117"/>
      <c r="D901" s="117"/>
    </row>
    <row r="902" spans="1:4" x14ac:dyDescent="0.3">
      <c r="A902" s="117"/>
      <c r="B902" s="110"/>
      <c r="C902" s="117"/>
      <c r="D902" s="117"/>
    </row>
    <row r="903" spans="1:4" x14ac:dyDescent="0.3">
      <c r="A903" s="117"/>
      <c r="B903" s="110"/>
      <c r="C903" s="117"/>
      <c r="D903" s="117"/>
    </row>
    <row r="904" spans="1:4" x14ac:dyDescent="0.3">
      <c r="A904" s="117"/>
      <c r="B904" s="110"/>
      <c r="C904" s="117"/>
      <c r="D904" s="117"/>
    </row>
    <row r="905" spans="1:4" x14ac:dyDescent="0.3">
      <c r="A905" s="117"/>
      <c r="B905" s="110"/>
      <c r="C905" s="117"/>
      <c r="D905" s="117"/>
    </row>
    <row r="906" spans="1:4" x14ac:dyDescent="0.3">
      <c r="A906" s="117"/>
      <c r="B906" s="110"/>
      <c r="C906" s="117"/>
      <c r="D906" s="117"/>
    </row>
    <row r="907" spans="1:4" x14ac:dyDescent="0.3">
      <c r="A907" s="117"/>
      <c r="B907" s="110"/>
      <c r="C907" s="117"/>
      <c r="D907" s="117"/>
    </row>
    <row r="908" spans="1:4" x14ac:dyDescent="0.3">
      <c r="A908" s="117"/>
      <c r="B908" s="110"/>
      <c r="C908" s="117"/>
      <c r="D908" s="117"/>
    </row>
    <row r="909" spans="1:4" x14ac:dyDescent="0.3">
      <c r="A909" s="117"/>
      <c r="B909" s="110"/>
      <c r="C909" s="117"/>
      <c r="D909" s="117"/>
    </row>
    <row r="910" spans="1:4" x14ac:dyDescent="0.3">
      <c r="A910" s="117"/>
      <c r="B910" s="110"/>
      <c r="C910" s="117"/>
      <c r="D910" s="117"/>
    </row>
    <row r="911" spans="1:4" x14ac:dyDescent="0.3">
      <c r="A911" s="117"/>
      <c r="B911" s="110"/>
      <c r="C911" s="117"/>
      <c r="D911" s="117"/>
    </row>
    <row r="912" spans="1:4" x14ac:dyDescent="0.3">
      <c r="A912" s="117"/>
      <c r="B912" s="110"/>
      <c r="C912" s="117"/>
      <c r="D912" s="117"/>
    </row>
    <row r="913" spans="1:4" x14ac:dyDescent="0.3">
      <c r="A913" s="117"/>
      <c r="B913" s="110"/>
      <c r="C913" s="117"/>
      <c r="D913" s="117"/>
    </row>
    <row r="914" spans="1:4" x14ac:dyDescent="0.3">
      <c r="A914" s="117"/>
      <c r="B914" s="110"/>
      <c r="C914" s="117"/>
      <c r="D914" s="117"/>
    </row>
    <row r="915" spans="1:4" x14ac:dyDescent="0.3">
      <c r="A915" s="117"/>
      <c r="B915" s="110"/>
      <c r="C915" s="117"/>
      <c r="D915" s="117"/>
    </row>
    <row r="916" spans="1:4" x14ac:dyDescent="0.3">
      <c r="A916" s="117"/>
      <c r="B916" s="110"/>
      <c r="C916" s="117"/>
      <c r="D916" s="117"/>
    </row>
    <row r="917" spans="1:4" x14ac:dyDescent="0.3">
      <c r="A917" s="117"/>
      <c r="B917" s="110"/>
      <c r="C917" s="117"/>
      <c r="D917" s="117"/>
    </row>
    <row r="918" spans="1:4" x14ac:dyDescent="0.3">
      <c r="A918" s="117"/>
      <c r="B918" s="110"/>
      <c r="C918" s="117"/>
      <c r="D918" s="117"/>
    </row>
    <row r="919" spans="1:4" x14ac:dyDescent="0.3">
      <c r="A919" s="117"/>
      <c r="B919" s="110"/>
      <c r="C919" s="117"/>
      <c r="D919" s="117"/>
    </row>
    <row r="920" spans="1:4" x14ac:dyDescent="0.3">
      <c r="A920" s="117"/>
      <c r="B920" s="110"/>
      <c r="C920" s="117"/>
      <c r="D920" s="117"/>
    </row>
    <row r="921" spans="1:4" x14ac:dyDescent="0.3">
      <c r="A921" s="117"/>
      <c r="B921" s="110"/>
      <c r="C921" s="117"/>
      <c r="D921" s="117"/>
    </row>
    <row r="922" spans="1:4" x14ac:dyDescent="0.3">
      <c r="A922" s="117"/>
      <c r="B922" s="110"/>
      <c r="C922" s="117"/>
      <c r="D922" s="117"/>
    </row>
    <row r="923" spans="1:4" x14ac:dyDescent="0.3">
      <c r="A923" s="117"/>
      <c r="B923" s="110"/>
      <c r="C923" s="117"/>
      <c r="D923" s="117"/>
    </row>
    <row r="924" spans="1:4" x14ac:dyDescent="0.3">
      <c r="A924" s="117"/>
      <c r="B924" s="110"/>
      <c r="C924" s="117"/>
      <c r="D924" s="117"/>
    </row>
    <row r="925" spans="1:4" x14ac:dyDescent="0.3">
      <c r="A925" s="117"/>
      <c r="B925" s="110"/>
      <c r="C925" s="117"/>
      <c r="D925" s="117"/>
    </row>
    <row r="926" spans="1:4" x14ac:dyDescent="0.3">
      <c r="A926" s="117"/>
      <c r="B926" s="110"/>
      <c r="C926" s="117"/>
      <c r="D926" s="117"/>
    </row>
    <row r="927" spans="1:4" x14ac:dyDescent="0.3">
      <c r="A927" s="117"/>
      <c r="B927" s="110"/>
      <c r="C927" s="117"/>
      <c r="D927" s="117"/>
    </row>
    <row r="928" spans="1:4" x14ac:dyDescent="0.3">
      <c r="A928" s="117"/>
      <c r="B928" s="110"/>
      <c r="C928" s="117"/>
      <c r="D928" s="117"/>
    </row>
    <row r="929" spans="1:4" x14ac:dyDescent="0.3">
      <c r="A929" s="117"/>
      <c r="B929" s="110"/>
      <c r="C929" s="117"/>
      <c r="D929" s="117"/>
    </row>
    <row r="930" spans="1:4" x14ac:dyDescent="0.3">
      <c r="A930" s="117"/>
      <c r="B930" s="110"/>
      <c r="C930" s="117"/>
      <c r="D930" s="117"/>
    </row>
    <row r="931" spans="1:4" x14ac:dyDescent="0.3">
      <c r="A931" s="117"/>
      <c r="B931" s="110"/>
      <c r="C931" s="117"/>
      <c r="D931" s="117"/>
    </row>
    <row r="932" spans="1:4" x14ac:dyDescent="0.3">
      <c r="A932" s="117"/>
      <c r="B932" s="110"/>
      <c r="C932" s="117"/>
      <c r="D932" s="117"/>
    </row>
    <row r="933" spans="1:4" x14ac:dyDescent="0.3">
      <c r="A933" s="117"/>
      <c r="B933" s="110"/>
      <c r="C933" s="117"/>
      <c r="D933" s="117"/>
    </row>
    <row r="934" spans="1:4" x14ac:dyDescent="0.3">
      <c r="A934" s="117"/>
      <c r="B934" s="110"/>
      <c r="C934" s="117"/>
      <c r="D934" s="117"/>
    </row>
    <row r="935" spans="1:4" x14ac:dyDescent="0.3">
      <c r="A935" s="117"/>
      <c r="B935" s="110"/>
      <c r="C935" s="117"/>
      <c r="D935" s="117"/>
    </row>
    <row r="936" spans="1:4" x14ac:dyDescent="0.3">
      <c r="A936" s="117"/>
      <c r="B936" s="110"/>
      <c r="C936" s="117"/>
      <c r="D936" s="117"/>
    </row>
    <row r="937" spans="1:4" x14ac:dyDescent="0.3">
      <c r="A937" s="117"/>
      <c r="B937" s="110"/>
      <c r="C937" s="117"/>
      <c r="D937" s="117"/>
    </row>
    <row r="938" spans="1:4" x14ac:dyDescent="0.3">
      <c r="A938" s="117"/>
      <c r="B938" s="110"/>
      <c r="C938" s="117"/>
      <c r="D938" s="117"/>
    </row>
    <row r="939" spans="1:4" x14ac:dyDescent="0.3">
      <c r="A939" s="117"/>
      <c r="B939" s="110"/>
      <c r="C939" s="117"/>
      <c r="D939" s="117"/>
    </row>
    <row r="940" spans="1:4" x14ac:dyDescent="0.3">
      <c r="A940" s="117"/>
      <c r="B940" s="110"/>
      <c r="C940" s="117"/>
      <c r="D940" s="117"/>
    </row>
    <row r="941" spans="1:4" x14ac:dyDescent="0.3">
      <c r="A941" s="117"/>
      <c r="B941" s="110"/>
      <c r="C941" s="117"/>
      <c r="D941" s="117"/>
    </row>
    <row r="942" spans="1:4" x14ac:dyDescent="0.3">
      <c r="A942" s="117"/>
      <c r="B942" s="110"/>
      <c r="C942" s="117"/>
      <c r="D942" s="117"/>
    </row>
    <row r="943" spans="1:4" x14ac:dyDescent="0.3">
      <c r="A943" s="117"/>
      <c r="B943" s="110"/>
      <c r="C943" s="117"/>
      <c r="D943" s="117"/>
    </row>
    <row r="944" spans="1:4" x14ac:dyDescent="0.3">
      <c r="A944" s="117"/>
      <c r="B944" s="110"/>
      <c r="C944" s="117"/>
      <c r="D944" s="117"/>
    </row>
    <row r="945" spans="1:4" x14ac:dyDescent="0.3">
      <c r="A945" s="117"/>
      <c r="B945" s="110"/>
      <c r="C945" s="117"/>
      <c r="D945" s="117"/>
    </row>
    <row r="946" spans="1:4" x14ac:dyDescent="0.3">
      <c r="A946" s="117"/>
      <c r="B946" s="110"/>
      <c r="C946" s="117"/>
      <c r="D946" s="117"/>
    </row>
    <row r="947" spans="1:4" x14ac:dyDescent="0.3">
      <c r="A947" s="117"/>
      <c r="B947" s="110"/>
      <c r="C947" s="117"/>
      <c r="D947" s="117"/>
    </row>
    <row r="948" spans="1:4" x14ac:dyDescent="0.3">
      <c r="A948" s="117"/>
      <c r="B948" s="110"/>
      <c r="C948" s="117"/>
      <c r="D948" s="117"/>
    </row>
    <row r="949" spans="1:4" x14ac:dyDescent="0.3">
      <c r="A949" s="117"/>
      <c r="B949" s="110"/>
      <c r="C949" s="117"/>
      <c r="D949" s="117"/>
    </row>
    <row r="950" spans="1:4" x14ac:dyDescent="0.3">
      <c r="A950" s="117"/>
      <c r="B950" s="110"/>
      <c r="C950" s="117"/>
      <c r="D950" s="117"/>
    </row>
    <row r="951" spans="1:4" x14ac:dyDescent="0.3">
      <c r="A951" s="117"/>
      <c r="B951" s="110"/>
      <c r="C951" s="117"/>
      <c r="D951" s="117"/>
    </row>
    <row r="952" spans="1:4" x14ac:dyDescent="0.3">
      <c r="A952" s="117"/>
      <c r="B952" s="110"/>
      <c r="C952" s="117"/>
      <c r="D952" s="117"/>
    </row>
    <row r="953" spans="1:4" x14ac:dyDescent="0.3">
      <c r="A953" s="117"/>
      <c r="B953" s="110"/>
      <c r="C953" s="117"/>
      <c r="D953" s="117"/>
    </row>
    <row r="954" spans="1:4" x14ac:dyDescent="0.3">
      <c r="A954" s="117"/>
      <c r="B954" s="110"/>
      <c r="C954" s="117"/>
      <c r="D954" s="117"/>
    </row>
    <row r="955" spans="1:4" x14ac:dyDescent="0.3">
      <c r="A955" s="117"/>
      <c r="B955" s="110"/>
      <c r="C955" s="117"/>
      <c r="D955" s="117"/>
    </row>
    <row r="956" spans="1:4" x14ac:dyDescent="0.3">
      <c r="A956" s="117"/>
      <c r="B956" s="110"/>
      <c r="C956" s="117"/>
      <c r="D956" s="117"/>
    </row>
    <row r="957" spans="1:4" x14ac:dyDescent="0.3">
      <c r="A957" s="117"/>
      <c r="B957" s="110"/>
      <c r="C957" s="117"/>
      <c r="D957" s="117"/>
    </row>
    <row r="958" spans="1:4" x14ac:dyDescent="0.3">
      <c r="A958" s="117"/>
      <c r="B958" s="110"/>
      <c r="C958" s="117"/>
      <c r="D958" s="117"/>
    </row>
    <row r="959" spans="1:4" x14ac:dyDescent="0.3">
      <c r="A959" s="117"/>
      <c r="B959" s="110"/>
      <c r="C959" s="117"/>
      <c r="D959" s="117"/>
    </row>
    <row r="960" spans="1:4" x14ac:dyDescent="0.3">
      <c r="A960" s="117"/>
      <c r="B960" s="110"/>
      <c r="C960" s="117"/>
      <c r="D960" s="117"/>
    </row>
    <row r="961" spans="1:4" x14ac:dyDescent="0.3">
      <c r="A961" s="117"/>
      <c r="B961" s="110"/>
      <c r="C961" s="117"/>
      <c r="D961" s="117"/>
    </row>
    <row r="962" spans="1:4" x14ac:dyDescent="0.3">
      <c r="A962" s="117"/>
      <c r="B962" s="110"/>
      <c r="C962" s="117"/>
      <c r="D962" s="117"/>
    </row>
    <row r="963" spans="1:4" x14ac:dyDescent="0.3">
      <c r="A963" s="117"/>
      <c r="B963" s="110"/>
      <c r="C963" s="117"/>
      <c r="D963" s="117"/>
    </row>
    <row r="964" spans="1:4" x14ac:dyDescent="0.3">
      <c r="A964" s="117"/>
      <c r="B964" s="110"/>
      <c r="C964" s="117"/>
      <c r="D964" s="117"/>
    </row>
    <row r="965" spans="1:4" x14ac:dyDescent="0.3">
      <c r="A965" s="117"/>
      <c r="B965" s="110"/>
      <c r="C965" s="117"/>
      <c r="D965" s="117"/>
    </row>
    <row r="966" spans="1:4" x14ac:dyDescent="0.3">
      <c r="A966" s="117"/>
      <c r="B966" s="110"/>
      <c r="C966" s="117"/>
      <c r="D966" s="117"/>
    </row>
    <row r="967" spans="1:4" x14ac:dyDescent="0.3">
      <c r="A967" s="117"/>
      <c r="B967" s="110"/>
      <c r="C967" s="117"/>
      <c r="D967" s="117"/>
    </row>
    <row r="968" spans="1:4" x14ac:dyDescent="0.3">
      <c r="A968" s="117"/>
      <c r="B968" s="110"/>
      <c r="C968" s="117"/>
      <c r="D968" s="117"/>
    </row>
    <row r="969" spans="1:4" x14ac:dyDescent="0.3">
      <c r="A969" s="117"/>
      <c r="B969" s="110"/>
      <c r="C969" s="117"/>
      <c r="D969" s="117"/>
    </row>
    <row r="970" spans="1:4" x14ac:dyDescent="0.3">
      <c r="A970" s="117"/>
      <c r="B970" s="110"/>
      <c r="C970" s="117"/>
      <c r="D970" s="117"/>
    </row>
    <row r="971" spans="1:4" x14ac:dyDescent="0.3">
      <c r="A971" s="117"/>
      <c r="B971" s="110"/>
      <c r="C971" s="117"/>
      <c r="D971" s="117"/>
    </row>
    <row r="972" spans="1:4" x14ac:dyDescent="0.3">
      <c r="A972" s="117"/>
      <c r="B972" s="110"/>
      <c r="C972" s="117"/>
      <c r="D972" s="117"/>
    </row>
    <row r="973" spans="1:4" x14ac:dyDescent="0.3">
      <c r="A973" s="117"/>
      <c r="B973" s="110"/>
      <c r="C973" s="117"/>
      <c r="D973" s="117"/>
    </row>
    <row r="974" spans="1:4" x14ac:dyDescent="0.3">
      <c r="A974" s="117"/>
      <c r="B974" s="110"/>
      <c r="C974" s="117"/>
      <c r="D974" s="117"/>
    </row>
    <row r="975" spans="1:4" x14ac:dyDescent="0.3">
      <c r="A975" s="117"/>
      <c r="B975" s="110"/>
      <c r="C975" s="117"/>
      <c r="D975" s="117"/>
    </row>
    <row r="976" spans="1:4" x14ac:dyDescent="0.3">
      <c r="A976" s="117"/>
      <c r="B976" s="110"/>
      <c r="C976" s="117"/>
      <c r="D976" s="117"/>
    </row>
    <row r="977" spans="1:4" x14ac:dyDescent="0.3">
      <c r="A977" s="117"/>
      <c r="B977" s="110"/>
      <c r="C977" s="117"/>
      <c r="D977" s="117"/>
    </row>
    <row r="978" spans="1:4" x14ac:dyDescent="0.3">
      <c r="A978" s="117"/>
      <c r="B978" s="110"/>
      <c r="C978" s="117"/>
      <c r="D978" s="117"/>
    </row>
    <row r="979" spans="1:4" x14ac:dyDescent="0.3">
      <c r="A979" s="117"/>
      <c r="B979" s="110"/>
      <c r="C979" s="117"/>
      <c r="D979" s="117"/>
    </row>
    <row r="980" spans="1:4" x14ac:dyDescent="0.3">
      <c r="A980" s="117"/>
      <c r="B980" s="110"/>
      <c r="C980" s="117"/>
      <c r="D980" s="117"/>
    </row>
    <row r="981" spans="1:4" x14ac:dyDescent="0.3">
      <c r="A981" s="117"/>
      <c r="B981" s="110"/>
      <c r="C981" s="117"/>
      <c r="D981" s="117"/>
    </row>
    <row r="982" spans="1:4" x14ac:dyDescent="0.3">
      <c r="A982" s="117"/>
      <c r="B982" s="110"/>
      <c r="C982" s="117"/>
      <c r="D982" s="117"/>
    </row>
    <row r="983" spans="1:4" x14ac:dyDescent="0.3">
      <c r="A983" s="117"/>
      <c r="B983" s="110"/>
      <c r="C983" s="117"/>
      <c r="D983" s="117"/>
    </row>
    <row r="984" spans="1:4" x14ac:dyDescent="0.3">
      <c r="A984" s="117"/>
      <c r="B984" s="110"/>
      <c r="C984" s="117"/>
      <c r="D984" s="117"/>
    </row>
    <row r="985" spans="1:4" x14ac:dyDescent="0.3">
      <c r="A985" s="117"/>
      <c r="B985" s="110"/>
      <c r="C985" s="117"/>
      <c r="D985" s="117"/>
    </row>
    <row r="986" spans="1:4" x14ac:dyDescent="0.3">
      <c r="A986" s="117"/>
      <c r="B986" s="110"/>
      <c r="C986" s="117"/>
      <c r="D986" s="117"/>
    </row>
    <row r="987" spans="1:4" x14ac:dyDescent="0.3">
      <c r="A987" s="117"/>
      <c r="B987" s="110"/>
      <c r="C987" s="117"/>
      <c r="D987" s="117"/>
    </row>
    <row r="988" spans="1:4" x14ac:dyDescent="0.3">
      <c r="A988" s="117"/>
      <c r="B988" s="110"/>
      <c r="C988" s="117"/>
      <c r="D988" s="117"/>
    </row>
    <row r="989" spans="1:4" x14ac:dyDescent="0.3">
      <c r="A989" s="117"/>
      <c r="B989" s="110"/>
      <c r="C989" s="117"/>
      <c r="D989" s="117"/>
    </row>
    <row r="990" spans="1:4" x14ac:dyDescent="0.3">
      <c r="A990" s="117"/>
      <c r="B990" s="110"/>
      <c r="C990" s="117"/>
      <c r="D990" s="117"/>
    </row>
    <row r="991" spans="1:4" x14ac:dyDescent="0.3">
      <c r="A991" s="117"/>
      <c r="B991" s="110"/>
      <c r="C991" s="117"/>
      <c r="D991" s="117"/>
    </row>
    <row r="992" spans="1:4" x14ac:dyDescent="0.3">
      <c r="A992" s="117"/>
      <c r="B992" s="110"/>
      <c r="C992" s="117"/>
      <c r="D992" s="117"/>
    </row>
    <row r="993" spans="1:4" x14ac:dyDescent="0.3">
      <c r="A993" s="117"/>
      <c r="B993" s="110"/>
      <c r="C993" s="117"/>
      <c r="D993" s="117"/>
    </row>
    <row r="994" spans="1:4" x14ac:dyDescent="0.3">
      <c r="A994" s="117"/>
      <c r="B994" s="110"/>
      <c r="C994" s="117"/>
      <c r="D994" s="117"/>
    </row>
    <row r="996" spans="1:4" ht="15" customHeight="1" x14ac:dyDescent="0.3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Créditos adicionales</vt:lpstr>
      <vt:lpstr>Desagregado</vt:lpstr>
      <vt:lpstr>Situado Constitucional</vt:lpstr>
      <vt:lpstr>Montos totales por Ministerios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Comunicaciones</dc:creator>
  <cp:lastModifiedBy>Comunicaciones5</cp:lastModifiedBy>
  <dcterms:created xsi:type="dcterms:W3CDTF">2018-03-02T14:32:02Z</dcterms:created>
  <dcterms:modified xsi:type="dcterms:W3CDTF">2018-03-09T15:43:52Z</dcterms:modified>
</cp:coreProperties>
</file>